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<sst xmlns="http://schemas.openxmlformats.org/spreadsheetml/2006/main" count="2898" uniqueCount="2088">
  <si>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</si>
  <si>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</si>
  <si>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</si>
  <si>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</si>
  <si>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</si>
  <si>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</si>
  <si>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</si>
  <si>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</si>
  <si>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</si>
  <si>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</si>
  <si>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</si>
  <si>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</si>
  <si>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</si>
  <si>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</si>
  <si>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</si>
  <si>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</si>
  <si>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</si>
  <si>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</si>
  <si>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</si>
  <si>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</si>
  <si>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</si>
  <si>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</si>
  <si>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</si>
  <si>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</si>
  <si>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</si>
  <si>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</si>
  <si>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</si>
  <si>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</si>
  <si>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</si>
  <si>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</si>
  <si>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</si>
  <si>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</si>
  <si>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</si>
  <si>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</si>
  <si>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</si>
  <si>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</si>
  <si>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</si>
  <si>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</si>
  <si>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</si>
  <si>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</si>
  <si>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</si>
  <si>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</si>
  <si>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</si>
  <si>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</si>
  <si>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</si>
  <si>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</si>
  <si>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</si>
  <si>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</si>
  <si>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</si>
  <si>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</si>
  <si>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</si>
  <si>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</si>
  <si>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</si>
  <si>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</si>
  <si>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</si>
  <si>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</si>
  <si>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</si>
  <si>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</si>
  <si>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</si>
  <si>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</si>
  <si>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</si>
  <si>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</si>
  <si>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</si>
  <si>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</si>
  <si>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</si>
  <si>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</si>
  <si>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</si>
  <si>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</si>
  <si>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</si>
  <si>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</si>
  <si>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</si>
  <si>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</si>
  <si>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</si>
  <si>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</si>
  <si>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</si>
  <si>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</si>
  <si>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</si>
  <si>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</si>
  <si>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</si>
  <si>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</si>
  <si>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</si>
  <si>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</si>
  <si>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</si>
  <si>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</si>
  <si>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</si>
  <si>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</si>
  <si>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</si>
  <si>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</si>
  <si>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</si>
  <si>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</si>
  <si>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</si>
  <si>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</si>
  <si>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</si>
  <si>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</si>
  <si>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</si>
  <si>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</si>
  <si>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</si>
  <si>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</si>
  <si>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</si>
  <si>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</si>
  <si>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</si>
  <si>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</si>
  <si>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</si>
  <si>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</si>
  <si>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</si>
  <si>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</si>
  <si>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</si>
  <si>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</si>
  <si>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</si>
  <si>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</si>
  <si>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</si>
  <si>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</si>
  <si>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</si>
  <si>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</si>
  <si>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</si>
  <si>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</si>
  <si>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</si>
  <si>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</si>
  <si>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</si>
  <si>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</si>
  <si>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</si>
  <si>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</si>
  <si>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</si>
  <si>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</si>
  <si>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</si>
  <si>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</si>
  <si>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</si>
  <si>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</si>
  <si>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</si>
  <si>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</si>
  <si>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</si>
  <si>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</si>
  <si>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</si>
  <si>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</si>
  <si>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</si>
  <si>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</si>
  <si>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</si>
  <si>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</si>
  <si>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</si>
  <si>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</si>
  <si>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</si>
  <si>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</si>
  <si>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</si>
  <si>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</si>
  <si>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</si>
  <si>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</si>
  <si>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</si>
  <si>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</si>
  <si>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</si>
  <si>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</si>
  <si>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</si>
  <si>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</si>
  <si>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</si>
  <si>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</si>
  <si>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</si>
  <si>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</si>
  <si>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</si>
  <si>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</si>
  <si>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</si>
  <si>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</si>
  <si>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</si>
  <si>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</si>
  <si>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</si>
  <si>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</si>
  <si>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</si>
  <si>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</si>
  <si>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</si>
  <si>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</si>
  <si>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</si>
  <si>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</si>
  <si>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</si>
  <si>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</si>
  <si>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</si>
  <si>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</si>
  <si>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</si>
  <si>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</si>
  <si>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</si>
  <si>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</si>
  <si>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</si>
  <si>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</si>
  <si>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</si>
  <si>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</si>
  <si>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</si>
  <si>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</si>
  <si>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</si>
  <si>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</si>
  <si>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</si>
  <si>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</si>
  <si>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</si>
  <si>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</si>
  <si>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</si>
  <si>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</si>
  <si>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</si>
  <si>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</si>
  <si>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</si>
  <si>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</si>
  <si>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</si>
  <si>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</si>
  <si>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</si>
  <si>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</si>
  <si>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</si>
  <si>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</si>
  <si>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</si>
  <si>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</si>
  <si>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</si>
  <si>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</si>
  <si>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</si>
  <si>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</si>
  <si>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</si>
  <si>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</si>
  <si>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</si>
  <si>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</si>
  <si>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</si>
  <si>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</si>
  <si>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</si>
  <si>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</si>
  <si>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</si>
  <si>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</si>
  <si>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</si>
  <si>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</si>
  <si>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</si>
  <si>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</si>
  <si>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</si>
  <si>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</si>
  <si>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</si>
  <si>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</si>
  <si>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</si>
  <si>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</si>
  <si>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</si>
  <si>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</si>
  <si>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</si>
  <si>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</si>
  <si>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</si>
  <si>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</si>
  <si>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</si>
  <si>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</si>
  <si>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</si>
  <si>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</si>
  <si>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</si>
  <si>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</si>
  <si>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</si>
  <si>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</si>
  <si>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</si>
  <si>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</si>
  <si>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</si>
  <si>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</si>
  <si>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</si>
  <si>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</si>
  <si>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</si>
  <si>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</si>
  <si>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</si>
  <si>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</si>
  <si>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</si>
  <si>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</si>
  <si>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</si>
  <si>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</si>
  <si>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</si>
  <si>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</si>
  <si>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</si>
  <si>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</si>
  <si>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</si>
  <si>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</si>
  <si>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</si>
  <si>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</si>
  <si>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</si>
  <si>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</si>
  <si>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</si>
  <si>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</si>
  <si>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</si>
  <si>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</si>
  <si>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</si>
  <si>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</si>
  <si>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</si>
  <si>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</si>
  <si>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</si>
  <si>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</si>
  <si>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</si>
  <si>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</si>
  <si>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</si>
  <si>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</si>
  <si>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</si>
  <si>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</si>
  <si>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</si>
  <si>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</si>
  <si>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</si>
  <si>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</si>
  <si>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</si>
  <si>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</si>
  <si>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</si>
  <si>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</si>
  <si>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</si>
  <si>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</si>
  <si>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</si>
  <si>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</si>
  <si>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</si>
  <si>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</si>
  <si>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</si>
  <si>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</si>
  <si>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</si>
  <si>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</si>
  <si>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</si>
  <si>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</si>
  <si>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</si>
  <si>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</si>
  <si>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</si>
  <si>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</si>
  <si>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</si>
  <si>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</si>
  <si>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</si>
  <si>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</si>
  <si>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</si>
  <si>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</si>
  <si>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</si>
  <si>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</si>
  <si>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</si>
  <si>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</si>
  <si>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</si>
  <si>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</si>
  <si>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</si>
  <si>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</si>
  <si>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</si>
  <si>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</si>
  <si>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</si>
  <si>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</si>
  <si>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</si>
  <si>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</si>
  <si>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</si>
  <si>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</si>
  <si>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</si>
  <si>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</si>
  <si>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</si>
  <si>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</si>
  <si>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</si>
  <si>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</si>
  <si>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</si>
  <si>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</si>
  <si>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</si>
  <si>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</si>
  <si>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</si>
  <si>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</si>
  <si>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</si>
  <si>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</si>
  <si>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</si>
  <si>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</si>
  <si>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</si>
  <si>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</si>
  <si>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</si>
  <si>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</si>
  <si>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</si>
  <si>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</si>
  <si>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</si>
  <si>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</si>
  <si>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</si>
  <si>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</si>
  <si>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</si>
  <si>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</si>
  <si>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</si>
  <si>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</si>
  <si>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</si>
  <si>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</si>
  <si>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</si>
  <si>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</si>
  <si>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</si>
  <si>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</si>
  <si>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</si>
  <si>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</si>
  <si>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</si>
  <si>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</si>
  <si>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</si>
  <si>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</si>
  <si>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</si>
  <si>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</si>
  <si>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</si>
  <si>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</si>
  <si>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</si>
  <si>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</si>
  <si>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</si>
  <si>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</si>
  <si>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</si>
  <si>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</si>
  <si>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</si>
  <si>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</si>
  <si>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</si>
  <si>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</si>
  <si>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</si>
  <si>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</si>
  <si>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</si>
  <si>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</si>
  <si>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</si>
  <si>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</si>
  <si>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</si>
  <si>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</si>
  <si>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</si>
  <si>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</si>
  <si>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</si>
  <si>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</si>
  <si>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</si>
  <si>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</si>
  <si>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</si>
  <si>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</si>
  <si>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</si>
  <si>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</si>
  <si>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</si>
  <si>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</si>
  <si>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</si>
  <si>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</si>
  <si>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</si>
  <si>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</si>
  <si>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</si>
  <si>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</si>
  <si>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</si>
  <si>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</si>
  <si>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</si>
  <si>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</si>
  <si>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</si>
  <si>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</si>
  <si>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</si>
  <si>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</si>
  <si>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</si>
  <si>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</si>
  <si>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</si>
  <si>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</si>
  <si>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</si>
  <si>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</si>
  <si>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</si>
  <si>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</si>
  <si>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</si>
  <si>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</si>
  <si>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</si>
  <si>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</si>
  <si>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</si>
  <si>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</si>
  <si>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</si>
  <si>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</si>
  <si>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</si>
  <si>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</si>
  <si>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</si>
  <si>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</si>
  <si>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</si>
  <si>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</si>
  <si>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</si>
  <si>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</si>
  <si>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</si>
  <si>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</si>
  <si>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</si>
  <si>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</si>
  <si>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</si>
  <si>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</si>
  <si>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</si>
  <si>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</si>
  <si>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</si>
  <si>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</si>
  <si>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</si>
  <si>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</si>
  <si>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</si>
  <si>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</si>
  <si>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</si>
  <si>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</si>
  <si>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</si>
  <si>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</si>
  <si>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</si>
  <si>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</si>
  <si>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</si>
  <si>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</si>
  <si>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</si>
  <si>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</si>
  <si>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</si>
  <si>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</si>
  <si>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</si>
  <si>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</si>
  <si>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</si>
  <si>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</si>
  <si>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</si>
  <si>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</si>
  <si>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</si>
  <si>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</si>
  <si>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</si>
  <si>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</si>
  <si>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</si>
  <si>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</si>
  <si>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</si>
  <si>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</si>
  <si>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</si>
  <si>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</si>
  <si>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</si>
  <si>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</si>
  <si>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</si>
  <si>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</si>
  <si>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</si>
  <si>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</si>
  <si>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</si>
  <si>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</si>
  <si>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</si>
  <si>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</si>
  <si>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</si>
  <si>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</si>
  <si>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</si>
  <si>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</si>
  <si>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</si>
  <si>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</si>
  <si>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</si>
  <si>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</si>
  <si>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</si>
  <si>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</si>
  <si>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</si>
  <si>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</si>
  <si>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</si>
  <si>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</si>
  <si>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</si>
  <si>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</si>
  <si>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</si>
  <si>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</si>
  <si>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</si>
  <si>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</si>
  <si>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</si>
  <si>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</si>
  <si>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</si>
  <si>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</si>
  <si>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</si>
  <si>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</si>
  <si>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</si>
  <si>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</si>
  <si>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</si>
  <si>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</si>
  <si>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</si>
  <si>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</si>
  <si>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</si>
  <si>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</si>
  <si>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</si>
  <si>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</si>
  <si>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</si>
  <si>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</si>
  <si>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</si>
  <si>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</si>
  <si>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</si>
  <si>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</si>
  <si>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</si>
  <si>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</si>
  <si>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</si>
  <si>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</si>
  <si>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</si>
  <si>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</si>
  <si>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</si>
  <si>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</si>
  <si>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</si>
  <si>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</si>
  <si>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</si>
  <si>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</si>
  <si>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</si>
  <si>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</si>
  <si>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</si>
  <si>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</si>
  <si>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</si>
  <si>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</si>
  <si>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</si>
  <si>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</si>
  <si>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</si>
  <si>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</si>
  <si>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</si>
  <si>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</si>
  <si>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</si>
  <si>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</si>
  <si>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</si>
  <si>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</si>
  <si>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</si>
  <si>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</si>
  <si>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</si>
  <si>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</si>
  <si>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</si>
  <si>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</si>
  <si>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</si>
  <si>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</si>
  <si>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</si>
  <si>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</si>
  <si>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</si>
  <si>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</si>
  <si>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</si>
  <si>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</si>
  <si>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</si>
  <si>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</si>
  <si>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</si>
  <si>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</si>
  <si>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</si>
  <si>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</si>
  <si>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</si>
  <si>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</si>
  <si>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</si>
  <si>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</si>
  <si>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</si>
  <si>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</si>
  <si>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</si>
  <si>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</si>
  <si>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</si>
  <si>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</si>
  <si>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</si>
  <si>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</si>
  <si>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</si>
  <si>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</si>
  <si>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</si>
  <si>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</si>
  <si>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</si>
  <si>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</si>
  <si>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</si>
  <si>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</si>
  <si>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</si>
  <si>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</si>
  <si>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</si>
  <si>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</si>
  <si>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</si>
  <si>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</si>
  <si>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</si>
  <si>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</si>
  <si>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</si>
  <si>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</si>
  <si>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</si>
  <si>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</si>
  <si>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</si>
  <si>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</si>
  <si>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</si>
  <si>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</si>
  <si>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</si>
  <si>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</si>
  <si>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</si>
  <si>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</si>
  <si>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</si>
  <si>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</si>
  <si>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</si>
  <si>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</si>
  <si>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</si>
  <si>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</si>
  <si>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</si>
  <si>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</si>
  <si>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</si>
  <si>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</si>
  <si>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</si>
  <si>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</si>
  <si>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</si>
  <si>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</si>
  <si>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</si>
  <si>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</si>
  <si>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</si>
  <si>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</si>
  <si>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</si>
  <si>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</si>
  <si>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</si>
  <si>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</si>
  <si>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</si>
  <si>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</si>
  <si>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</si>
  <si>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</si>
  <si>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</si>
  <si>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</si>
  <si>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</si>
  <si>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</si>
  <si>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</si>
  <si>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</si>
  <si>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</si>
  <si>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</si>
  <si>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</si>
  <si>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</si>
  <si>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</si>
  <si>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</si>
  <si>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</si>
  <si>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</si>
  <si>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</si>
  <si>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</si>
  <si>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</si>
  <si>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</si>
  <si>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</si>
  <si>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</si>
  <si>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</si>
  <si>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</si>
  <si>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</si>
  <si>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</si>
  <si>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</si>
  <si>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</si>
  <si>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</si>
  <si>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</si>
  <si>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</si>
  <si>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</si>
  <si>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</si>
  <si>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</si>
  <si>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</si>
  <si>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</si>
  <si>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</si>
  <si>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</si>
  <si>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</si>
  <si>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</si>
  <si>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</si>
  <si>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</si>
  <si>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</si>
  <si>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</si>
  <si>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</si>
  <si>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</si>
  <si>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</si>
  <si>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</si>
  <si>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</si>
  <si>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</si>
  <si>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</si>
  <si>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</si>
  <si>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</si>
  <si>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</si>
  <si>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</si>
  <si>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</si>
  <si>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</si>
  <si>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</si>
  <si>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</si>
  <si>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</si>
  <si>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</si>
  <si>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</si>
  <si>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</si>
  <si>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</si>
  <si>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</si>
  <si>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</si>
  <si>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</si>
  <si>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</si>
  <si>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</si>
  <si>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</si>
  <si>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</si>
  <si>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</si>
  <si>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</si>
  <si>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</si>
  <si>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</si>
  <si>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</si>
  <si>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</si>
  <si>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</si>
  <si>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</si>
  <si>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</si>
  <si>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</si>
  <si>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</si>
  <si>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</si>
  <si>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</si>
  <si>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</si>
  <si>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</si>
  <si>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</si>
  <si>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</si>
  <si>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</si>
  <si>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</si>
  <si>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</si>
  <si>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</si>
  <si>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</si>
  <si>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</si>
  <si>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</si>
  <si>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</si>
  <si>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</si>
  <si>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</si>
  <si>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</si>
  <si>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</si>
  <si>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</si>
  <si>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</si>
  <si>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</si>
  <si>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</si>
  <si>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</si>
  <si>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</si>
  <si>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</si>
  <si>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</si>
  <si>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</si>
  <si>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</si>
  <si>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</si>
  <si>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</si>
  <si>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</si>
  <si>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</si>
  <si>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</si>
  <si>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</si>
  <si>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</si>
  <si>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</si>
  <si>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</si>
  <si>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</si>
  <si>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</si>
  <si>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</si>
  <si>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</si>
  <si>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</si>
  <si>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</si>
  <si>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</si>
  <si>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</si>
  <si>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</si>
  <si>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</si>
  <si>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</si>
  <si>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</si>
  <si>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</si>
  <si>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</si>
  <si>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</si>
  <si>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</si>
  <si>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</si>
  <si>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</si>
  <si>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</si>
  <si>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</si>
  <si>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</si>
  <si>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</si>
  <si>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</si>
  <si>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</si>
  <si>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</si>
  <si>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</si>
  <si>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</si>
  <si>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</si>
  <si>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</si>
  <si>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</si>
  <si>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</si>
  <si>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</si>
  <si>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</si>
  <si>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</si>
  <si>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</si>
  <si>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</si>
  <si>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</si>
  <si>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</si>
  <si>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</si>
  <si>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</si>
  <si>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</si>
  <si>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</si>
  <si>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</si>
  <si>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</si>
  <si>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</si>
  <si>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</si>
  <si>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</si>
  <si>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</si>
  <si>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</si>
  <si>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</si>
  <si>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</si>
  <si>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</si>
  <si>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</si>
  <si>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</si>
  <si>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</si>
  <si>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</si>
  <si>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</si>
  <si>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</si>
  <si>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</si>
  <si>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</si>
  <si>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</si>
  <si>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</si>
  <si>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</si>
  <si>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</si>
  <si>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</si>
  <si>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</si>
  <si>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</si>
  <si>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</si>
  <si>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</si>
  <si>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</si>
  <si>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</si>
  <si>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</si>
  <si>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</si>
  <si>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</si>
  <si>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</si>
  <si>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</si>
  <si>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</si>
  <si>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</si>
  <si>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</si>
  <si>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</si>
  <si>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</si>
  <si>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</si>
  <si>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</si>
  <si>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</si>
  <si>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</si>
  <si>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</si>
  <si>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</si>
  <si>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</si>
  <si>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</si>
  <si>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</si>
  <si>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</si>
  <si>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</si>
  <si>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</si>
  <si>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</si>
  <si>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</si>
  <si>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</si>
  <si>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</si>
  <si>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</si>
  <si>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</si>
  <si>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</si>
  <si>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</si>
  <si>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</si>
  <si>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</si>
  <si>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</si>
  <si>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</si>
  <si>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</si>
  <si>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</si>
  <si>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</si>
  <si>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</si>
  <si>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</si>
  <si>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</si>
  <si>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</si>
  <si>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</si>
  <si>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</si>
  <si>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</si>
  <si>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</si>
  <si>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</si>
  <si>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</si>
  <si>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</si>
  <si>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</si>
  <si>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</si>
  <si>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</si>
  <si>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</si>
  <si>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</si>
  <si>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</si>
  <si>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</si>
  <si>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</si>
  <si>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</si>
  <si>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</si>
  <si>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</si>
  <si>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</si>
  <si>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</si>
  <si>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</si>
  <si>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</si>
  <si>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</si>
  <si>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</si>
  <si>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</si>
  <si>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</si>
  <si>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</si>
  <si>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</si>
  <si>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</si>
  <si>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</si>
  <si>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</si>
  <si>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</si>
  <si>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</si>
  <si>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</si>
  <si>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</si>
  <si>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</si>
  <si>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</si>
  <si>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</si>
  <si>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</si>
  <si>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</si>
  <si>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</si>
  <si>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</si>
  <si>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</si>
  <si>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</si>
  <si>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</si>
  <si>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</si>
  <si>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</si>
  <si>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</si>
  <si>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</si>
  <si>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</si>
  <si>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</si>
  <si>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</si>
  <si>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</si>
  <si>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</si>
  <si>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</si>
  <si>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</si>
  <si>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</si>
  <si>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</si>
  <si>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</si>
  <si>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</si>
  <si>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</si>
  <si>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</si>
  <si>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</si>
  <si>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</si>
  <si>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</si>
  <si>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</si>
  <si>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</si>
  <si>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</si>
  <si>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</si>
  <si>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</si>
  <si>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</si>
  <si>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</si>
  <si>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</si>
  <si>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</si>
  <si>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</si>
  <si>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</si>
  <si>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</si>
  <si>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</si>
  <si>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</si>
  <si>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</si>
  <si>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</si>
  <si>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</si>
  <si>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</si>
  <si>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</si>
  <si>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</si>
  <si>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</si>
  <si>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</si>
  <si>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</si>
  <si>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</si>
  <si>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</si>
  <si>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</si>
  <si>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</si>
  <si>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</si>
  <si>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</si>
  <si>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</si>
  <si>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</si>
  <si>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</si>
  <si>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</si>
  <si>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</si>
  <si>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</si>
  <si>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</si>
  <si>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</si>
  <si>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</si>
  <si>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</si>
  <si>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</si>
  <si>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</si>
  <si>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</si>
  <si>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</si>
  <si>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</si>
  <si>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</si>
  <si>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</si>
  <si>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</si>
  <si>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</si>
  <si>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</si>
  <si>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</si>
  <si>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</si>
  <si>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</si>
  <si>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</si>
  <si>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</si>
  <si>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</si>
  <si>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</si>
  <si>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</si>
  <si>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</si>
  <si>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</si>
  <si>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</si>
  <si>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</si>
  <si>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</si>
  <si>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</si>
  <si>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</si>
  <si>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</si>
  <si>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</si>
  <si>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</si>
  <si>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</si>
  <si>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</si>
  <si>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</si>
  <si>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</si>
  <si>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</si>
  <si>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</si>
  <si>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</si>
  <si>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</si>
  <si>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</si>
  <si>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</si>
  <si>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</si>
  <si>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</si>
  <si>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</si>
  <si>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</si>
  <si>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</si>
  <si>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</si>
  <si>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</si>
  <si>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</si>
  <si>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</si>
  <si>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</si>
  <si>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</si>
  <si>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</si>
  <si>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</si>
  <si>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</si>
  <si>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</si>
  <si>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</si>
  <si>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</si>
  <si>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</si>
  <si>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</si>
  <si>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</si>
  <si>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</si>
  <si>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</si>
  <si>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</si>
  <si>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</si>
  <si>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</si>
  <si>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</si>
  <si>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</si>
  <si>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</si>
  <si>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</si>
  <si>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</si>
  <si>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</si>
  <si>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</si>
  <si>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</si>
  <si>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</si>
  <si>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</si>
  <si>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</si>
  <si>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</si>
  <si>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</si>
  <si>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</si>
  <si>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</si>
  <si>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</si>
  <si>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</si>
  <si>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</si>
  <si>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</si>
  <si>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</si>
  <si>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</si>
  <si>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</si>
  <si>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</si>
  <si>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</si>
  <si>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</si>
  <si>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</si>
  <si>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</si>
  <si>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</si>
  <si>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</si>
  <si>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</si>
  <si>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</si>
  <si>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</si>
  <si>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</si>
  <si>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</si>
  <si>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</si>
  <si>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</si>
  <si>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</si>
  <si>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</si>
  <si>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</si>
  <si>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</si>
  <si>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</si>
  <si>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</si>
  <si>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</si>
  <si>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</si>
  <si>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</si>
  <si>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</si>
  <si>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</si>
  <si>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</si>
  <si>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</si>
  <si>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</si>
  <si>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</si>
  <si>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</si>
  <si>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</si>
  <si>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</si>
  <si>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</si>
  <si>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</si>
  <si>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</si>
  <si>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</si>
  <si>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</si>
  <si>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</si>
  <si>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</si>
  <si>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</si>
  <si>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</si>
  <si>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</si>
  <si>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</si>
  <si>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</si>
  <si>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</si>
  <si>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</si>
  <si>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</si>
  <si>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</si>
  <si>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</si>
  <si>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</si>
  <si>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</si>
  <si>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</si>
  <si>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</si>
  <si>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</si>
  <si>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</si>
  <si>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</si>
  <si>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</si>
  <si>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</si>
  <si>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</si>
  <si>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</si>
  <si>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</si>
  <si>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</si>
  <si>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</si>
  <si>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</si>
  <si>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</si>
  <si>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</si>
  <si>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</si>
  <si>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</si>
  <si>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</si>
  <si>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</si>
  <si>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</si>
  <si>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</si>
  <si>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</si>
  <si>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</si>
  <si>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</si>
  <si>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</si>
  <si>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</si>
  <si>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</si>
  <si>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</si>
  <si>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</si>
  <si>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</si>
  <si>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</si>
  <si>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</si>
  <si>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</si>
  <si>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</si>
  <si>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</si>
  <si>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</si>
  <si>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</si>
  <si>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</si>
  <si>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</si>
  <si>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</si>
  <si>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</si>
  <si>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</si>
  <si>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</si>
  <si>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</si>
  <si>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</si>
  <si>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</si>
  <si>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</si>
  <si>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</si>
  <si>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</si>
  <si>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</si>
  <si>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</si>
  <si>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</si>
  <si>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</si>
  <si>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</si>
  <si>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</si>
  <si>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</si>
  <si>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</si>
  <si>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</si>
  <si>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</si>
  <si>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</si>
  <si>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</si>
  <si>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</si>
  <si>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</si>
  <si>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</si>
  <si>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</si>
  <si>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</si>
  <si>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</si>
  <si>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</si>
  <si>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</si>
  <si>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</si>
  <si>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</si>
  <si>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</si>
  <si>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</si>
  <si>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</si>
  <si>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</si>
  <si>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</si>
  <si>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</si>
  <si>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</si>
  <si>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</si>
  <si>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</si>
  <si>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</si>
  <si>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</si>
  <si>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</si>
  <si>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</si>
  <si>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</si>
  <si>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</si>
  <si>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</si>
  <si>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</si>
  <si>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</si>
  <si>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</si>
  <si>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</si>
  <si>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</si>
  <si>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</si>
  <si>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</si>
  <si>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</si>
  <si>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</si>
  <si>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</si>
  <si>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</si>
  <si>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</si>
  <si>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</si>
  <si>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</si>
  <si>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</si>
  <si>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</si>
  <si>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</si>
  <si>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</si>
  <si>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</si>
  <si>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</si>
  <si>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</si>
  <si>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</si>
  <si>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</si>
  <si>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</si>
  <si>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</si>
  <si>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</si>
  <si>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</si>
  <si>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</si>
  <si>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</si>
  <si>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</si>
  <si>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</si>
  <si>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</si>
  <si>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</si>
  <si>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</si>
  <si>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</si>
  <si>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</si>
  <si>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</si>
  <si>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</si>
  <si>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</si>
  <si>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</si>
  <si>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</si>
  <si>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</si>
  <si>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</si>
  <si>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</si>
  <si>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</si>
  <si>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</si>
  <si>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</si>
  <si>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</si>
  <si>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</si>
  <si>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</si>
  <si>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</si>
  <si>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</si>
  <si>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</si>
  <si>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</si>
  <si>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</si>
  <si>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</si>
  <si>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</si>
  <si>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</si>
  <si>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</si>
  <si>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</si>
  <si>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</si>
  <si>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</si>
  <si>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</si>
  <si>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</si>
  <si>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</si>
  <si>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</si>
  <si>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</si>
  <si>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</si>
  <si>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</si>
  <si>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</si>
  <si>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</si>
  <si>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</si>
  <si>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</si>
  <si>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</si>
  <si>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</si>
  <si>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</si>
  <si>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</si>
  <si>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</si>
  <si>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</si>
  <si>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</si>
  <si>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</si>
  <si>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</si>
  <si>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</si>
  <si>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</si>
  <si>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</si>
  <si>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</si>
  <si>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</si>
  <si>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</si>
  <si>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</si>
  <si>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</si>
  <si>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</si>
  <si>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</si>
  <si>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</si>
  <si>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</si>
  <si>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</si>
  <si>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</si>
  <si>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</si>
  <si>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</si>
  <si>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</si>
  <si>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</si>
  <si>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</si>
  <si>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</si>
  <si>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</si>
  <si>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</si>
  <si>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</si>
  <si>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</si>
  <si>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</si>
  <si>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</si>
  <si>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</si>
  <si>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</si>
  <si>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</si>
  <si>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</si>
  <si>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</si>
  <si>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</si>
  <si>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</si>
  <si>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</si>
  <si>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</si>
  <si>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</si>
  <si>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</si>
  <si>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</si>
  <si>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</si>
  <si>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</si>
  <si>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</si>
  <si>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</si>
  <si>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</si>
  <si>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</si>
  <si>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</si>
  <si>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</si>
  <si>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</si>
  <si>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</si>
  <si>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</si>
  <si>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</si>
  <si>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</si>
  <si>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</si>
  <si>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</si>
  <si>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</si>
  <si>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</si>
  <si>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</si>
  <si>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</si>
  <si>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</si>
  <si>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</si>
  <si>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</si>
  <si>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</si>
  <si>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</si>
  <si>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</si>
  <si>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</si>
  <si>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</si>
  <si>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</si>
  <si>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</si>
  <si>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</si>
  <si>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</si>
  <si>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</si>
  <si>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</si>
  <si>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</si>
  <si>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</si>
  <si>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</si>
  <si>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</si>
  <si>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</si>
  <si>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</si>
  <si>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</si>
  <si>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</si>
  <si>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</si>
  <si>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</si>
  <si>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</si>
  <si>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</si>
  <si>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</si>
  <si>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</si>
  <si>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</si>
  <si>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</si>
  <si>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</si>
  <si>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</si>
  <si>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</si>
  <si>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</si>
  <si>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</si>
  <si>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</si>
  <si>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</si>
  <si>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</si>
  <si>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</si>
  <si>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</si>
  <si>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</si>
  <si>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</si>
  <si>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</si>
  <si>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</si>
  <si>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</si>
  <si>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</si>
  <si>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</si>
  <si>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</si>
  <si>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</si>
  <si>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</si>
  <si>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</si>
  <si>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</si>
  <si>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</si>
  <si>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</si>
  <si>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</si>
  <si>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</si>
  <si>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</si>
  <si>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</si>
  <si>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</si>
  <si>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</si>
  <si>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</si>
  <si>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</si>
  <si>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</si>
  <si>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</si>
  <si>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</si>
  <si>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</si>
  <si>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</si>
  <si>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</si>
  <si>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</si>
  <si>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</si>
  <si>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</si>
  <si>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</si>
  <si>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</si>
  <si>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</si>
  <si>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</si>
  <si>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</si>
  <si>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</si>
  <si>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</si>
  <si>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</si>
  <si>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</si>
  <si>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</si>
  <si>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</si>
  <si>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</si>
  <si>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</si>
  <si>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</si>
  <si>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</si>
  <si>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</si>
  <si>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</si>
  <si>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</si>
  <si>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</si>
  <si>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</si>
  <si>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</si>
  <si>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</si>
  <si>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</si>
  <si>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</si>
  <si>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</si>
  <si>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</si>
  <si>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</si>
  <si>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</si>
  <si>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</si>
  <si>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</si>
  <si>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</si>
  <si>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</si>
  <si>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</si>
  <si>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</si>
  <si>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</si>
  <si>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</si>
  <si>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</si>
  <si>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</si>
  <si>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</si>
  <si>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</si>
  <si>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</si>
  <si>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</si>
  <si>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</si>
  <si>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</si>
  <si>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</si>
  <si>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</si>
  <si>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</si>
  <si>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</si>
  <si>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</si>
  <si>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</si>
  <si>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</si>
  <si>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</si>
  <si>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</si>
  <si>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</si>
  <si>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</si>
  <si>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</si>
  <si>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</si>
  <si>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</si>
  <si>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</si>
  <si>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</si>
  <si>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</si>
  <si>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</si>
  <si>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</si>
  <si>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</si>
  <si>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</si>
  <si>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</si>
  <si>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</si>
  <si>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</si>
  <si>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</si>
  <si>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</si>
  <si>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</si>
  <si>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</si>
  <si>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</si>
  <si>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</si>
  <si>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</si>
  <si>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</si>
  <si>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</si>
  <si>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</si>
  <si>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</si>
  <si>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</si>
  <si>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</si>
  <si>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</si>
  <si>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</si>
  <si>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</si>
  <si>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</si>
  <si>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</si>
  <si>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</si>
  <si>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</si>
  <si>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</si>
  <si>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</si>
  <si>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</si>
  <si>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</si>
  <si>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</si>
  <si>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</si>
  <si>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</si>
  <si>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</si>
  <si>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</si>
  <si>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</si>
  <si>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</si>
  <si>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</si>
  <si>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</si>
  <si>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</si>
  <si>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</si>
  <si>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</si>
  <si>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</si>
  <si>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</si>
  <si>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</si>
  <si>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</si>
  <si>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</si>
  <si>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</si>
  <si>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</si>
  <si>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</si>
  <si>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</si>
  <si>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</si>
  <si>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</si>
  <si>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</si>
  <si>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</si>
  <si>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</si>
  <si>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</si>
  <si>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</si>
  <si>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</si>
  <si>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</si>
  <si>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</si>
  <si>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</si>
  <si>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</si>
  <si>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</si>
  <si>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</si>
  <si>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</si>
  <si>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</si>
  <si>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</si>
  <si>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</si>
  <si>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</si>
  <si>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</si>
  <si>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</si>
  <si>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</si>
  <si>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</si>
  <si>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</si>
  <si>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</si>
  <si>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</si>
  <si>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</si>
  <si>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</si>
  <si>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</si>
  <si>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</si>
  <si>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</si>
  <si>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</si>
  <si>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</si>
  <si>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</si>
  <si>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</si>
  <si>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</si>
  <si>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</si>
  <si>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</si>
  <si>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</si>
  <si>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</si>
  <si>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</si>
  <si>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</si>
  <si>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</si>
  <si>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</si>
  <si>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</si>
  <si>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</si>
  <si>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</si>
  <si>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</si>
  <si>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</si>
  <si>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</si>
  <si>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</si>
  <si>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</si>
  <si>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</si>
  <si>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</si>
  <si>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</si>
  <si>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</si>
  <si>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</si>
  <si>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</si>
  <si>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</si>
  <si>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</si>
  <si>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</si>
  <si>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</si>
  <si>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</si>
  <si>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</si>
  <si>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</si>
  <si>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</si>
  <si>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</si>
  <si>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</si>
  <si>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</si>
  <si>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</si>
  <si>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</si>
  <si>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</si>
  <si>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</si>
  <si>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</si>
  <si>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</si>
  <si>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</si>
  <si>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</si>
  <si>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</si>
  <si>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</si>
  <si>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</si>
  <si>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</si>
  <si>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</si>
  <si>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</si>
  <si>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</si>
  <si>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</si>
  <si>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</si>
  <si>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</si>
  <si>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</si>
  <si>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</si>
  <si>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</si>
  <si>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</si>
  <si>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</si>
  <si>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</si>
  <si>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</si>
  <si>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</si>
  <si>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</si>
  <si>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</si>
  <si>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</si>
  <si>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</si>
  <si>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</si>
  <si>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</si>
  <si>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</si>
  <si>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</si>
  <si>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</si>
  <si>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</si>
  <si>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</si>
  <si>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</si>
  <si>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</si>
  <si>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</si>
  <si>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</si>
  <si>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</si>
  <si>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</si>
  <si>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</si>
  <si>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</si>
  <si>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</si>
  <si>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</si>
  <si>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</si>
  <si>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</si>
  <si>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</si>
  <si>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</si>
  <si>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</si>
  <si>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</si>
  <si>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</si>
  <si>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</si>
  <si>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</si>
  <si>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</si>
  <si>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</si>
  <si>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</si>
  <si>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</si>
  <si>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</si>
  <si>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</si>
  <si>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</si>
  <si>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</si>
  <si>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</si>
  <si>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</si>
  <si>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</si>
  <si>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</si>
  <si>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</si>
  <si>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</si>
  <si>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</si>
  <si>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</si>
  <si>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</si>
  <si>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</si>
  <si>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</si>
  <si>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</si>
  <si>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</si>
  <si>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</si>
  <si>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</si>
  <si>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</si>
  <si>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</si>
  <si>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</si>
  <si>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</si>
  <si>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</si>
  <si>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</si>
  <si>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</si>
  <si>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</si>
  <si>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</si>
  <si>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</si>
  <si>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</si>
  <si>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</si>
  <si>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</si>
  <si>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</si>
  <si>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</si>
  <si>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</si>
  <si>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</si>
  <si>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</si>
  <si>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</si>
  <si>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</si>
  <si>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</si>
  <si>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</si>
  <si>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</si>
  <si>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</si>
  <si>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</si>
  <si>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</si>
  <si>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</si>
  <si>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</si>
  <si>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</si>
  <si>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</si>
  <si>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</si>
  <si>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</si>
  <si>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</si>
  <si>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</si>
  <si>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</si>
  <si>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</si>
  <si>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</si>
  <si>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</si>
  <si>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</si>
  <si>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</si>
  <si>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</si>
  <si>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</si>
  <si>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</si>
  <si>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</si>
  <si>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</si>
  <si>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</si>
  <si>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</si>
  <si>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</si>
  <si>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</si>
  <si>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</si>
  <si>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</si>
  <si>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</si>
  <si>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</si>
  <si>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</si>
  <si>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</si>
  <si>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</si>
  <si>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</si>
  <si>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</si>
  <si>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</si>
  <si>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</si>
  <si>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</si>
  <si>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</si>
  <si>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</si>
  <si>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</si>
  <si>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</si>
  <si>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</si>
  <si>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</si>
  <si>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</si>
  <si>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</si>
  <si>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</si>
  <si>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</si>
  <si>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</si>
  <si>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</si>
  <si>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</si>
  <si>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</si>
  <si>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</si>
  <si>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</si>
  <si>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</si>
  <si>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</si>
  <si>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</si>
  <si>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</si>
  <si>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</si>
  <si>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</si>
  <si>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</si>
  <si>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</si>
  <si>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</si>
  <si>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</si>
  <si>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</si>
  <si>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</si>
  <si>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</si>
  <si>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</si>
  <si>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</si>
  <si>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</si>
  <si>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</si>
  <si>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</si>
  <si>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</si>
  <si>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</si>
  <si>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</si>
  <si>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</si>
  <si>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</si>
  <si>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</si>
  <si>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</si>
  <si>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</si>
  <si>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</si>
  <si>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</si>
  <si>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</si>
  <si>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</si>
  <si>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</si>
  <si>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</si>
  <si>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</si>
  <si>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</si>
  <si>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</si>
  <si>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</si>
  <si>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</si>
  <si>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</si>
  <si>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</si>
  <si>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</si>
  <si>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</si>
  <si>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</si>
  <si>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</si>
  <si>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</si>
  <si>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</si>
  <si>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</si>
  <si>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</si>
  <si>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</si>
  <si>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</si>
  <si>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</si>
  <si>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</si>
  <si>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</si>
  <si>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</si>
  <si>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</si>
  <si>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</si>
  <si>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</si>
  <si>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</si>
  <si>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</si>
  <si>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</si>
  <si>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</si>
  <si>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</si>
  <si>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</si>
  <si>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</si>
  <si>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</si>
  <si>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</si>
  <si>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</si>
  <si>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</si>
  <si>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</si>
  <si>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</si>
  <si>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</si>
  <si>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</si>
  <si>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</si>
  <si>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</si>
  <si>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</si>
  <si>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</si>
  <si>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</si>
  <si>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</si>
  <si>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</si>
  <si>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</si>
  <si>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</si>
  <si>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</si>
  <si>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</si>
  <si>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</si>
  <si>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</si>
  <si>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</si>
  <si>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</si>
  <si>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</si>
  <si>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</si>
  <si>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</si>
  <si>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</si>
  <si>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</si>
  <si>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</si>
  <si>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</si>
  <si>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</si>
  <si>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</si>
  <si>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</si>
  <si>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</si>
  <si>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</si>
  <si>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</si>
  <si>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</si>
  <si>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</si>
  <si>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</si>
  <si>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</si>
  <si>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</si>
  <si>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</si>
  <si>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</si>
  <si>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</si>
  <si>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</si>
  <si>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</si>
  <si>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</si>
  <si>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</si>
  <si>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</si>
  <si>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</si>
  <si>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</si>
  <si>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</si>
  <si>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</si>
  <si>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</si>
  <si>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</si>
  <si>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</si>
  <si>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</si>
  <si>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</si>
  <si>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</si>
  <si>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</si>
  <si>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</si>
  <si>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</si>
  <si>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</si>
  <si>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</si>
  <si>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</si>
  <si>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</si>
  <si>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</si>
  <si>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</si>
  <si>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</si>
  <si>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</si>
  <si>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</si>
  <si>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</si>
  <si>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</si>
  <si>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</si>
  <si>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</si>
  <si>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</si>
  <si>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</si>
  <si>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</si>
  <si>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</si>
  <si>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</si>
  <si>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</si>
  <si>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</si>
  <si>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</si>
  <si>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</si>
  <si>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</si>
  <si>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</si>
  <si>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</si>
  <si>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</si>
  <si>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</si>
  <si>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</si>
  <si>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</si>
  <si>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</si>
  <si>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</si>
  <si>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</si>
  <si>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</si>
  <si>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</si>
  <si>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</si>
  <si>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</si>
  <si>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</si>
  <si>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</si>
  <si>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</si>
  <si>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</si>
  <si>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</si>
  <si>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</si>
  <si>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</si>
  <si>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</si>
  <si>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</si>
  <si>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</si>
  <si>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</si>
  <si>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</si>
  <si>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</si>
  <si>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</si>
  <si>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</si>
  <si>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</si>
  <si>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</si>
  <si>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</si>
  <si>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</si>
  <si>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</si>
  <si>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</si>
  <si>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</si>
  <si>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</si>
  <si>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</si>
  <si>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</si>
  <si>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</si>
  <si>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</si>
  <si>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</si>
  <si>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</si>
  <si>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</si>
  <si>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</si>
  <si>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</si>
  <si>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</si>
  <si>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</si>
  <si>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</si>
  <si>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</si>
  <si>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</si>
  <si>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</si>
  <si>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</si>
  <si>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</si>
  <si>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</si>
  <si>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</si>
  <si>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</si>
  <si>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</si>
  <si>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</si>
  <si>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</si>
  <si>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</si>
  <si>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</si>
  <si>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</si>
  <si>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</si>
  <si>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</si>
  <si>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</si>
  <si>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</si>
  <si>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</si>
  <si>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</si>
  <si>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</si>
  <si>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</si>
  <si>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</si>
  <si>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</si>
  <si>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</si>
  <si>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</si>
  <si>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</si>
  <si>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</si>
  <si>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</si>
  <si>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</si>
  <si>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</si>
  <si>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</si>
  <si>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</si>
  <si>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</si>
  <si>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</si>
  <si>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</si>
  <si>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</si>
  <si>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</si>
  <si>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</si>
  <si>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</si>
  <si>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</si>
  <si>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</si>
  <si>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</si>
  <si>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</si>
  <si>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</si>
  <si>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</si>
  <si>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</si>
  <si>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</si>
  <si>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</si>
  <si>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</si>
  <si>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</si>
  <si>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</si>
  <si>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</si>
  <si>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</si>
  <si>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</si>
  <si>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</si>
  <si>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</si>
  <si>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</si>
  <si>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</si>
  <si>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</si>
  <si>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</si>
  <si>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</si>
  <si>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</si>
  <si>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</si>
  <si>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</si>
  <si>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</si>
  <si>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</si>
  <si>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</si>
  <si>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</si>
  <si>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</si>
  <si>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</si>
  <si>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</si>
  <si>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</si>
  <si>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</si>
  <si>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</si>
  <si>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</si>
  <si>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</si>
  <si>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</si>
  <si>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</si>
  <si>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</si>
  <si>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</si>
  <si>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</si>
  <si>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</si>
  <si>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</si>
  <si>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</si>
  <si>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</si>
  <si>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</si>
  <si>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</si>
  <si>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</si>
  <si>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</si>
  <si>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</si>
  <si>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</si>
  <si>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</si>
  <si>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</si>
  <si>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</si>
  <si>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</si>
  <si>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</si>
  <si>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</si>
  <si>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</si>
  <si>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</si>
  <si>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</si>
  <si>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</si>
  <si>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</si>
  <si>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</si>
  <si>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</si>
  <si>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</si>
  <si>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</si>
  <si>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</si>
  <si>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</si>
  <si>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</si>
  <si>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</si>
  <si>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</si>
  <si>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</si>
  <si>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</si>
  <si>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</si>
  <si>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</si>
  <si>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</si>
  <si>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</si>
  <si>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</si>
  <si>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</si>
  <si>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</si>
  <si>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</si>
  <si>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</si>
  <si>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</si>
  <si>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</si>
  <si>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</si>
  <si>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</si>
  <si>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</si>
  <si>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</si>
  <si>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</si>
  <si>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</si>
  <si>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</si>
  <si>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</si>
  <si>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</si>
  <si>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</si>
  <si>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Мария Гвоздейкова-Златева</t>
  </si>
  <si>
    <t>11.12.2023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</si>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</sst>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45260</v>
      </c>
      <c r="M6" s="1008"/>
      <c r="N6" s="1033" t="s">
        <v>983</v>
      </c>
      <c r="O6" s="997"/>
      <c r="P6" s="1034">
        <f>OTCHET!F9</f>
        <v>45260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45260</v>
      </c>
      <c r="H9" s="1008"/>
      <c r="I9" s="1058">
        <f>+L4</f>
        <v>2023</v>
      </c>
      <c r="J9" s="1059">
        <f>+L6</f>
        <v>45260</v>
      </c>
      <c r="K9" s="1060"/>
      <c r="L9" s="1061">
        <f>+L6</f>
        <v>45260</v>
      </c>
      <c r="M9" s="1060"/>
      <c r="N9" s="1062">
        <f>+L6</f>
        <v>45260</v>
      </c>
      <c r="O9" s="1063"/>
      <c r="P9" s="1064">
        <f>+L4</f>
        <v>2023</v>
      </c>
      <c r="Q9" s="1062">
        <f>+L6</f>
        <v>45260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16194</v>
      </c>
      <c r="K51" s="1084"/>
      <c r="L51" s="1091">
        <f>+IF($P$2=33,$Q51,0)</f>
        <v>0</v>
      </c>
      <c r="M51" s="1084"/>
      <c r="N51" s="1121">
        <f>+ROUND(+G51+J51+L51,0)</f>
        <v>16194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16194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16194</v>
      </c>
      <c r="K56" s="1084"/>
      <c r="L56" s="1197">
        <f>+ROUND(+SUM(L51:L55),0)</f>
        <v>0</v>
      </c>
      <c r="M56" s="1084"/>
      <c r="N56" s="1198">
        <f>+ROUND(+SUM(N51:N55),0)</f>
        <v>16194</v>
      </c>
      <c r="O56" s="1086"/>
      <c r="P56" s="1196">
        <f>+ROUND(+SUM(P51:P55),0)</f>
        <v>0</v>
      </c>
      <c r="Q56" s="1197">
        <f>+ROUND(+SUM(Q51:Q55),0)</f>
        <v>16194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1714963</v>
      </c>
      <c r="K59" s="1084"/>
      <c r="L59" s="1109">
        <f>+IF($P$2=33,$Q59,0)</f>
        <v>0</v>
      </c>
      <c r="M59" s="1084"/>
      <c r="N59" s="1110">
        <f>+ROUND(+G59+J59+L59,0)</f>
        <v>1714963</v>
      </c>
      <c r="O59" s="1086"/>
      <c r="P59" s="1108">
        <f>+ROUND(+OTCHET!E275+OTCHET!E276,0)</f>
        <v>0</v>
      </c>
      <c r="Q59" s="1109">
        <f>+ROUND(+OTCHET!L275+OTCHET!L276,0)</f>
        <v>1714963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1714963</v>
      </c>
      <c r="K63" s="1084"/>
      <c r="L63" s="1197">
        <f>+ROUND(+SUM(L58:L61),0)</f>
        <v>0</v>
      </c>
      <c r="M63" s="1084"/>
      <c r="N63" s="1198">
        <f>+ROUND(+SUM(N58:N61),0)</f>
        <v>1714963</v>
      </c>
      <c r="O63" s="1086"/>
      <c r="P63" s="1196">
        <f>+ROUND(+SUM(P58:P61),0)</f>
        <v>0</v>
      </c>
      <c r="Q63" s="1197">
        <f>+ROUND(+SUM(Q58:Q61),0)</f>
        <v>1714963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1731157</v>
      </c>
      <c r="K77" s="1084"/>
      <c r="L77" s="1222">
        <f>+ROUND(L56+L63+L67+L71+L75,0)</f>
        <v>0</v>
      </c>
      <c r="M77" s="1084"/>
      <c r="N77" s="1223">
        <f>+ROUND(N56+N63+N67+N71+N75,0)</f>
        <v>1731157</v>
      </c>
      <c r="O77" s="1086"/>
      <c r="P77" s="1220">
        <f>+ROUND(P56+P63+P67+P71+P75,0)</f>
        <v>0</v>
      </c>
      <c r="Q77" s="1221">
        <f>+ROUND(Q56+Q63+Q67+Q71+Q75,0)</f>
        <v>1731157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1731157</v>
      </c>
      <c r="K79" s="1084"/>
      <c r="L79" s="1097">
        <f>+IF($P$2=33,$Q79,0)</f>
        <v>0</v>
      </c>
      <c r="M79" s="1084"/>
      <c r="N79" s="1098">
        <f>+ROUND(+G79+J79+L79,0)</f>
        <v>1731157</v>
      </c>
      <c r="O79" s="1086"/>
      <c r="P79" s="1096">
        <f>+ROUND(OTCHET!E419,0)</f>
        <v>0</v>
      </c>
      <c r="Q79" s="1097">
        <f>+ROUND(OTCHET!L419,0)</f>
        <v>1731157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1731157</v>
      </c>
      <c r="K81" s="1084"/>
      <c r="L81" s="1231">
        <f>+ROUND(L79+L80,0)</f>
        <v>0</v>
      </c>
      <c r="M81" s="1084"/>
      <c r="N81" s="1232">
        <f>+ROUND(N79+N80,0)</f>
        <v>1731157</v>
      </c>
      <c r="O81" s="1086"/>
      <c r="P81" s="1230">
        <f>+ROUND(P79+P80,0)</f>
        <v>0</v>
      </c>
      <c r="Q81" s="1231">
        <f>+ROUND(Q79+Q80,0)</f>
        <v>1731157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11.12.2023 г.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45260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1731157</v>
      </c>
      <c r="G38" s="837">
        <f>G39+G43+G44+G46+SUM(G48:G52)+G55</f>
        <v>0</v>
      </c>
      <c r="H38" s="838">
        <f>H39+H43+H44+H46+SUM(H48:H52)+H55</f>
        <v>1731157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16194</v>
      </c>
      <c r="G43" s="805">
        <f>+OTCHET!I205+OTCHET!I223+OTCHET!I271</f>
        <v>0</v>
      </c>
      <c r="H43" s="806">
        <f>+OTCHET!J205+OTCHET!J223+OTCHET!J271</f>
        <v>16194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1714963</v>
      </c>
      <c r="G49" s="805">
        <f>OTCHET!I275+OTCHET!I276+OTCHET!I284+OTCHET!I287</f>
        <v>0</v>
      </c>
      <c r="H49" s="806">
        <f>OTCHET!J275+OTCHET!J276+OTCHET!J284+OTCHET!J287</f>
        <v>1714963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1731157</v>
      </c>
      <c r="G56" s="882">
        <f>+G57+G58+G62</f>
        <v>0</v>
      </c>
      <c r="H56" s="883">
        <f>+H57+H58+H62</f>
        <v>1731157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1731157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1731157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Мария Гвоздейкова-Златева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1851</v>
      </c>
      <c r="C9" s="1826"/>
      <c r="D9" s="1827"/>
      <c r="E9" s="115">
        <f>DATE($C$3,1,1)</f>
        <v>44927</v>
      </c>
      <c r="F9" s="116">
        <v>45260</v>
      </c>
      <c r="G9" s="113"/>
      <c r="H9" s="1404"/>
      <c r="I9" s="1780"/>
      <c r="J9" s="1781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ноември</v>
      </c>
      <c r="G10" s="113"/>
      <c r="H10" s="114"/>
      <c r="I10" s="1782" t="s">
        <v>954</v>
      </c>
      <c r="J10" s="178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3"/>
      <c r="J11" s="1783"/>
      <c r="K11" s="113"/>
      <c r="L11" s="113"/>
      <c r="M11" s="7">
        <v>1</v>
      </c>
      <c r="N11" s="108"/>
    </row>
    <row r="12" spans="2:14" ht="27" customHeight="1">
      <c r="B12" s="1807" t="str">
        <f>VLOOKUP(F12,PRBK,2,FALSE)</f>
        <v>Твърдица</v>
      </c>
      <c r="C12" s="1808"/>
      <c r="D12" s="1809"/>
      <c r="E12" s="118" t="s">
        <v>948</v>
      </c>
      <c r="F12" s="1571" t="s">
        <v>1531</v>
      </c>
      <c r="G12" s="113"/>
      <c r="H12" s="114"/>
      <c r="I12" s="1783"/>
      <c r="J12" s="1783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8" t="str">
        <f>CONCATENATE("Уточнен план ",$C$3," - ПРИХОДИ")</f>
        <v>Уточнен план 2023 - ПРИХОДИ</v>
      </c>
      <c r="F19" s="1749"/>
      <c r="G19" s="1749"/>
      <c r="H19" s="1750"/>
      <c r="I19" s="1831" t="str">
        <f>CONCATENATE("Отчет ",$C$3," - ПРИХОДИ")</f>
        <v>Отчет 2023 - ПРИХОДИ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462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464</v>
      </c>
      <c r="D28" s="1822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2" t="str">
        <f>$B$9</f>
        <v>Твърдица</v>
      </c>
      <c r="C176" s="1743"/>
      <c r="D176" s="1744"/>
      <c r="E176" s="115">
        <f>$E$9</f>
        <v>44927</v>
      </c>
      <c r="F176" s="226">
        <f>$F$9</f>
        <v>45260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7" t="str">
        <f>$B$12</f>
        <v>Твърдица</v>
      </c>
      <c r="C179" s="1808"/>
      <c r="D179" s="1809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8" t="str">
        <f>CONCATENATE("Уточнен план ",$C$3," - РАЗХОДИ - рекапитулация")</f>
        <v>Уточнен план 2023 - РАЗХОДИ - рекапитулация</v>
      </c>
      <c r="F183" s="1749"/>
      <c r="G183" s="1749"/>
      <c r="H183" s="1750"/>
      <c r="I183" s="1751" t="str">
        <f>CONCATENATE("Отчет ",$C$3," - РАЗХОДИ - рекапитулация")</f>
        <v>Отчет 2023 - РАЗХОДИ - рекапитулация</v>
      </c>
      <c r="J183" s="1752"/>
      <c r="K183" s="1752"/>
      <c r="L183" s="175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6" t="s">
        <v>730</v>
      </c>
      <c r="D187" s="175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733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189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194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195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16194</v>
      </c>
      <c r="K205" s="276">
        <f t="shared" si="48"/>
        <v>0</v>
      </c>
      <c r="L205" s="310">
        <f t="shared" si="48"/>
        <v>16194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16194</v>
      </c>
      <c r="K212" s="323">
        <f t="shared" si="49"/>
        <v>0</v>
      </c>
      <c r="L212" s="320">
        <f t="shared" si="49"/>
        <v>16194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4" t="s">
        <v>266</v>
      </c>
      <c r="D223" s="176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4" t="s">
        <v>708</v>
      </c>
      <c r="D227" s="176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4" t="s">
        <v>214</v>
      </c>
      <c r="D233" s="176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4" t="s">
        <v>216</v>
      </c>
      <c r="D236" s="176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4" t="s">
        <v>217</v>
      </c>
      <c r="D237" s="175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4" t="s">
        <v>218</v>
      </c>
      <c r="D238" s="175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4" t="s">
        <v>1643</v>
      </c>
      <c r="D239" s="175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4" t="s">
        <v>219</v>
      </c>
      <c r="D240" s="176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4" t="s">
        <v>228</v>
      </c>
      <c r="D255" s="176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4" t="s">
        <v>229</v>
      </c>
      <c r="D256" s="176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4" t="s">
        <v>230</v>
      </c>
      <c r="D257" s="176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4" t="s">
        <v>231</v>
      </c>
      <c r="D258" s="176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4" t="s">
        <v>1648</v>
      </c>
      <c r="D265" s="176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4" t="s">
        <v>1645</v>
      </c>
      <c r="D269" s="176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4" t="s">
        <v>1646</v>
      </c>
      <c r="D270" s="176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4" t="s">
        <v>241</v>
      </c>
      <c r="D271" s="175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4" t="s">
        <v>267</v>
      </c>
      <c r="D272" s="176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8" t="s">
        <v>242</v>
      </c>
      <c r="D275" s="176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1714963</v>
      </c>
      <c r="K275" s="276">
        <f t="shared" si="68"/>
        <v>0</v>
      </c>
      <c r="L275" s="310">
        <f t="shared" si="68"/>
        <v>1714963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68" t="s">
        <v>243</v>
      </c>
      <c r="D276" s="176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8" t="s">
        <v>614</v>
      </c>
      <c r="D284" s="176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8" t="s">
        <v>672</v>
      </c>
      <c r="D287" s="176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4" t="s">
        <v>673</v>
      </c>
      <c r="D288" s="176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0" t="s">
        <v>900</v>
      </c>
      <c r="D293" s="177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66" t="s">
        <v>681</v>
      </c>
      <c r="D297" s="176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1731157</v>
      </c>
      <c r="K301" s="398">
        <f t="shared" si="77"/>
        <v>0</v>
      </c>
      <c r="L301" s="395">
        <f t="shared" si="77"/>
        <v>1731157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8"/>
      <c r="C306" s="1813"/>
      <c r="D306" s="181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2"/>
      <c r="C308" s="1813"/>
      <c r="D308" s="181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2"/>
      <c r="C311" s="1813"/>
      <c r="D311" s="181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4"/>
      <c r="C344" s="1814"/>
      <c r="D344" s="181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7" t="str">
        <f>$B$7</f>
        <v>ОТЧЕТНИ ДАННИ ПО ЕБК ЗА СМЕТКИТЕ ЗА СРЕДСТВАТА ОТ ЕВРОПЕЙСКИЯ СЪЮЗ - РА</v>
      </c>
      <c r="C348" s="1817"/>
      <c r="D348" s="181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2" t="str">
        <f>$B$9</f>
        <v>Твърдица</v>
      </c>
      <c r="C350" s="1743"/>
      <c r="D350" s="1744"/>
      <c r="E350" s="115">
        <f>$E$9</f>
        <v>44927</v>
      </c>
      <c r="F350" s="407">
        <f>$F$9</f>
        <v>45260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7" t="str">
        <f>$B$12</f>
        <v>Твърдица</v>
      </c>
      <c r="C353" s="1808"/>
      <c r="D353" s="1809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4" t="str">
        <f>CONCATENATE("Уточнен план ",$C$3," - ТРАНСФЕРИ и ВРЕМ. БЕЗЛ. ЗАЕМИ")</f>
        <v>Уточнен план 2023 - ТРАНСФЕРИ и ВРЕМ. БЕЗЛ. ЗАЕМИ</v>
      </c>
      <c r="F357" s="1835"/>
      <c r="G357" s="1835"/>
      <c r="H357" s="1836"/>
      <c r="I357" s="1837" t="str">
        <f>CONCATENATE("Отчет ",$C$3," - ТРАНСФЕРИ и ВРЕМ. БЕЗЛ. ЗАЕМИ")</f>
        <v>Отчет 2023 - ТРАНСФЕРИ и ВРЕМ. БЕЗЛ. ЗАЕМИ</v>
      </c>
      <c r="J357" s="1838"/>
      <c r="K357" s="1838"/>
      <c r="L357" s="183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5" t="s">
        <v>270</v>
      </c>
      <c r="D361" s="1816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4" t="s">
        <v>281</v>
      </c>
      <c r="D375" s="178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4" t="s">
        <v>303</v>
      </c>
      <c r="D383" s="178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4" t="s">
        <v>247</v>
      </c>
      <c r="D388" s="178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4" t="s">
        <v>248</v>
      </c>
      <c r="D391" s="1785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4" t="s">
        <v>250</v>
      </c>
      <c r="D396" s="178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288526</v>
      </c>
      <c r="K396" s="441">
        <f>SUM(K397:K398)</f>
        <v>0</v>
      </c>
      <c r="L396" s="1367">
        <f t="shared" si="88"/>
        <v>288526</v>
      </c>
      <c r="M396" s="7">
        <f t="shared" si="80"/>
        <v>1</v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>
        <v>288526</v>
      </c>
      <c r="K397" s="154">
        <v>0</v>
      </c>
      <c r="L397" s="1368">
        <f>I397+J397+K397</f>
        <v>288526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>
        <v>0</v>
      </c>
      <c r="H398" s="175">
        <v>0</v>
      </c>
      <c r="I398" s="173"/>
      <c r="J398" s="174">
        <v>0</v>
      </c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4" t="s">
        <v>251</v>
      </c>
      <c r="D399" s="178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1442631</v>
      </c>
      <c r="K399" s="441">
        <f>SUM(K400:K401)</f>
        <v>0</v>
      </c>
      <c r="L399" s="1367">
        <f t="shared" si="89"/>
        <v>1442631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>
        <v>0</v>
      </c>
      <c r="H400" s="154">
        <v>0</v>
      </c>
      <c r="I400" s="158"/>
      <c r="J400" s="159">
        <v>1442631</v>
      </c>
      <c r="K400" s="154">
        <v>0</v>
      </c>
      <c r="L400" s="1368">
        <f>I400+J400+K400</f>
        <v>1442631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4" t="s">
        <v>907</v>
      </c>
      <c r="D402" s="178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4" t="s">
        <v>667</v>
      </c>
      <c r="D405" s="178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4" t="s">
        <v>668</v>
      </c>
      <c r="D406" s="178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4" t="s">
        <v>686</v>
      </c>
      <c r="D409" s="178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4" t="s">
        <v>254</v>
      </c>
      <c r="D412" s="178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1731157</v>
      </c>
      <c r="K419" s="511">
        <f>SUM(K361,K375,K383,K388,K391,K396,K399,K402,K405,K406,K409,K412)</f>
        <v>0</v>
      </c>
      <c r="L419" s="508">
        <f t="shared" si="95"/>
        <v>1731157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4" t="s">
        <v>753</v>
      </c>
      <c r="D422" s="1785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4" t="s">
        <v>691</v>
      </c>
      <c r="D423" s="1785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4" t="s">
        <v>255</v>
      </c>
      <c r="D424" s="1785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4" t="s">
        <v>670</v>
      </c>
      <c r="D425" s="1785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4" t="s">
        <v>911</v>
      </c>
      <c r="D426" s="178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РА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2" t="str">
        <f>$B$9</f>
        <v>Твърдица</v>
      </c>
      <c r="C435" s="1743"/>
      <c r="D435" s="1744"/>
      <c r="E435" s="115">
        <f>$E$9</f>
        <v>44927</v>
      </c>
      <c r="F435" s="407">
        <f>$F$9</f>
        <v>45260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7" t="str">
        <f>$B$12</f>
        <v>Твърдица</v>
      </c>
      <c r="C438" s="1808"/>
      <c r="D438" s="1809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8" t="str">
        <f>CONCATENATE("Уточнен план ",$C$3," - БЮДЖЕТНО САЛДО")</f>
        <v>Уточнен план 2023 - БЮДЖЕТНО САЛДО</v>
      </c>
      <c r="F442" s="1749"/>
      <c r="G442" s="1749"/>
      <c r="H442" s="1750"/>
      <c r="I442" s="1840" t="str">
        <f>CONCATENATE("Отчет ",$C$3," - БЮДЖЕТНО САЛДО")</f>
        <v>Отчет 2023 - БЮДЖЕТНО САЛДО</v>
      </c>
      <c r="J442" s="1841"/>
      <c r="K442" s="1841"/>
      <c r="L442" s="184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40" t="str">
        <f>$B$7</f>
        <v>ОТЧЕТНИ ДАННИ ПО ЕБК ЗА СМЕТКИТЕ ЗА СРЕДСТВАТА ОТ ЕВРОПЕЙСКИЯ СЪЮЗ - РА</v>
      </c>
      <c r="C449" s="1741"/>
      <c r="D449" s="174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2" t="str">
        <f>$B$9</f>
        <v>Твърдица</v>
      </c>
      <c r="C451" s="1743"/>
      <c r="D451" s="1744"/>
      <c r="E451" s="115">
        <f>$E$9</f>
        <v>44927</v>
      </c>
      <c r="F451" s="407">
        <f>$F$9</f>
        <v>45260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7" t="str">
        <f>$B$12</f>
        <v>Твърдица</v>
      </c>
      <c r="C454" s="1808"/>
      <c r="D454" s="1809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8" t="str">
        <f>CONCATENATE("Уточнен план ",$C$3," - ФИНАНСИРАНЕ НА БЮДЖЕТНО САЛДО")</f>
        <v>Уточнен план 2023 - ФИНАНСИРАНЕ НА БЮДЖЕТНО САЛДО</v>
      </c>
      <c r="F458" s="1829"/>
      <c r="G458" s="1829"/>
      <c r="H458" s="1830"/>
      <c r="I458" s="1843" t="str">
        <f>CONCATENATE("Отчет ",$C$3," -ФИНАНСИРАНЕ НА БЮДЖЕТНО САЛДО")</f>
        <v>Отчет 2023 -ФИНАНСИРАНЕ НА БЮДЖЕТНО САЛДО</v>
      </c>
      <c r="J458" s="1844"/>
      <c r="K458" s="1844"/>
      <c r="L458" s="184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9" t="s">
        <v>754</v>
      </c>
      <c r="D461" s="180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4" t="s">
        <v>757</v>
      </c>
      <c r="D465" s="1794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4" t="s">
        <v>1941</v>
      </c>
      <c r="D468" s="1794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9" t="s">
        <v>760</v>
      </c>
      <c r="D471" s="180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5" t="s">
        <v>767</v>
      </c>
      <c r="D478" s="1796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7" t="s">
        <v>915</v>
      </c>
      <c r="D481" s="179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2" t="s">
        <v>920</v>
      </c>
      <c r="D497" s="179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2" t="s">
        <v>24</v>
      </c>
      <c r="D502" s="179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1" t="s">
        <v>921</v>
      </c>
      <c r="D503" s="1801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7" t="s">
        <v>33</v>
      </c>
      <c r="D512" s="179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7" t="s">
        <v>37</v>
      </c>
      <c r="D516" s="179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7" t="s">
        <v>922</v>
      </c>
      <c r="D521" s="1803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2" t="s">
        <v>923</v>
      </c>
      <c r="D524" s="179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5" t="s">
        <v>307</v>
      </c>
      <c r="D531" s="180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7" t="s">
        <v>925</v>
      </c>
      <c r="D535" s="179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2" t="s">
        <v>926</v>
      </c>
      <c r="D536" s="1802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4" t="s">
        <v>927</v>
      </c>
      <c r="D541" s="179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7" t="s">
        <v>928</v>
      </c>
      <c r="D544" s="179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4" t="s">
        <v>937</v>
      </c>
      <c r="D566" s="1804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4" t="s">
        <v>942</v>
      </c>
      <c r="D586" s="179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4" t="s">
        <v>819</v>
      </c>
      <c r="D591" s="179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6" t="s">
        <v>2084</v>
      </c>
      <c r="H600" s="1787"/>
      <c r="I600" s="1787"/>
      <c r="J600" s="178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4" t="s">
        <v>863</v>
      </c>
      <c r="H601" s="1774"/>
      <c r="I601" s="1774"/>
      <c r="J601" s="1774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89" t="s">
        <v>2085</v>
      </c>
      <c r="H603" s="1790"/>
      <c r="I603" s="1790"/>
      <c r="J603" s="1791"/>
      <c r="K603" s="103"/>
      <c r="L603" s="228"/>
      <c r="M603" s="7">
        <v>1</v>
      </c>
      <c r="N603" s="514"/>
    </row>
    <row r="604" spans="1:14" ht="21.75" customHeight="1">
      <c r="A604" s="23"/>
      <c r="B604" s="1772" t="s">
        <v>866</v>
      </c>
      <c r="C604" s="1773"/>
      <c r="D604" s="661" t="s">
        <v>867</v>
      </c>
      <c r="E604" s="662"/>
      <c r="F604" s="663"/>
      <c r="G604" s="1774" t="s">
        <v>863</v>
      </c>
      <c r="H604" s="1774"/>
      <c r="I604" s="1774"/>
      <c r="J604" s="1774"/>
      <c r="K604" s="103"/>
      <c r="L604" s="228"/>
      <c r="M604" s="7">
        <v>1</v>
      </c>
      <c r="N604" s="514"/>
    </row>
    <row r="605" spans="1:14" ht="24.75" customHeight="1">
      <c r="A605" s="36"/>
      <c r="B605" s="1775" t="s">
        <v>2086</v>
      </c>
      <c r="C605" s="1776"/>
      <c r="D605" s="664" t="s">
        <v>868</v>
      </c>
      <c r="E605" s="665" t="s">
        <v>2087</v>
      </c>
      <c r="F605" s="666"/>
      <c r="G605" s="667" t="s">
        <v>869</v>
      </c>
      <c r="H605" s="1777"/>
      <c r="I605" s="1778"/>
      <c r="J605" s="1779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77"/>
      <c r="I607" s="1778"/>
      <c r="J607" s="1779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0" t="str">
        <f>$B$7</f>
        <v>ОТЧЕТНИ ДАННИ ПО ЕБК ЗА СМЕТКИТЕ ЗА СРЕДСТВАТА ОТ ЕВРОПЕЙСКИЯ СЪЮЗ - РА</v>
      </c>
      <c r="C621" s="1741"/>
      <c r="D621" s="174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42" t="str">
        <f>$B$9</f>
        <v>Твърдица</v>
      </c>
      <c r="C623" s="1743"/>
      <c r="D623" s="1744"/>
      <c r="E623" s="115">
        <f>$E$9</f>
        <v>44927</v>
      </c>
      <c r="F623" s="226">
        <f>$F$9</f>
        <v>45260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5" t="str">
        <f>$B$12</f>
        <v>Твърдица</v>
      </c>
      <c r="C626" s="1746"/>
      <c r="D626" s="1747"/>
      <c r="E626" s="410" t="s">
        <v>876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48" t="str">
        <f>CONCATENATE("Уточнен план ",$C$3)</f>
        <v>Уточнен план 2023</v>
      </c>
      <c r="F630" s="1749"/>
      <c r="G630" s="1749"/>
      <c r="H630" s="1750"/>
      <c r="I630" s="1751" t="str">
        <f>CONCATENATE("Отчет ",$C$3)</f>
        <v>Отчет 2023</v>
      </c>
      <c r="J630" s="1752"/>
      <c r="K630" s="1752"/>
      <c r="L630" s="175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2048</v>
      </c>
      <c r="C634" s="1447">
        <f>VLOOKUP(D635,EBK_DEIN2,2,FALSE)</f>
        <v>8849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8849</v>
      </c>
      <c r="D635" s="1441" t="s">
        <v>597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56" t="s">
        <v>730</v>
      </c>
      <c r="D637" s="175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/>
      <c r="J638" s="153"/>
      <c r="K638" s="1407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8" t="s">
        <v>733</v>
      </c>
      <c r="D640" s="175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0" t="s">
        <v>189</v>
      </c>
      <c r="D646" s="1761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/>
      <c r="J647" s="153"/>
      <c r="K647" s="1407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/>
      <c r="J648" s="159"/>
      <c r="K648" s="1409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/>
      <c r="J650" s="159"/>
      <c r="K650" s="1409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/>
      <c r="J651" s="159"/>
      <c r="K651" s="1409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2" t="s">
        <v>194</v>
      </c>
      <c r="D654" s="1763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8" t="s">
        <v>195</v>
      </c>
      <c r="D655" s="175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16194</v>
      </c>
      <c r="K655" s="276">
        <f t="shared" si="140"/>
        <v>0</v>
      </c>
      <c r="L655" s="310">
        <f t="shared" si="140"/>
        <v>16194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/>
      <c r="J660" s="159"/>
      <c r="K660" s="1409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/>
      <c r="J661" s="165"/>
      <c r="K661" s="1408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>
        <v>0</v>
      </c>
      <c r="H662" s="1417"/>
      <c r="I662" s="450"/>
      <c r="J662" s="451">
        <v>16194</v>
      </c>
      <c r="K662" s="1417"/>
      <c r="L662" s="320">
        <f t="shared" si="142"/>
        <v>16194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/>
      <c r="J664" s="451"/>
      <c r="K664" s="1417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4" t="s">
        <v>266</v>
      </c>
      <c r="D673" s="176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4" t="s">
        <v>708</v>
      </c>
      <c r="D677" s="176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4" t="s">
        <v>214</v>
      </c>
      <c r="D683" s="176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4" t="s">
        <v>216</v>
      </c>
      <c r="D686" s="176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4" t="s">
        <v>217</v>
      </c>
      <c r="D687" s="1755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4" t="s">
        <v>218</v>
      </c>
      <c r="D688" s="1755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4" t="s">
        <v>1647</v>
      </c>
      <c r="D689" s="1755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4" t="s">
        <v>219</v>
      </c>
      <c r="D690" s="176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4" t="s">
        <v>228</v>
      </c>
      <c r="D705" s="176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4" t="s">
        <v>229</v>
      </c>
      <c r="D706" s="176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4" t="s">
        <v>230</v>
      </c>
      <c r="D707" s="176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4" t="s">
        <v>231</v>
      </c>
      <c r="D708" s="176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4" t="s">
        <v>1648</v>
      </c>
      <c r="D715" s="176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4" t="s">
        <v>1645</v>
      </c>
      <c r="D719" s="176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4" t="s">
        <v>1646</v>
      </c>
      <c r="D720" s="176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4" t="s">
        <v>241</v>
      </c>
      <c r="D721" s="1755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4" t="s">
        <v>267</v>
      </c>
      <c r="D722" s="176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68" t="s">
        <v>242</v>
      </c>
      <c r="D725" s="1769"/>
      <c r="E725" s="310">
        <f>F725+G725+H725</f>
        <v>0</v>
      </c>
      <c r="F725" s="1411"/>
      <c r="G725" s="1412">
        <v>0</v>
      </c>
      <c r="H725" s="1413"/>
      <c r="I725" s="1411"/>
      <c r="J725" s="1412">
        <v>1714963</v>
      </c>
      <c r="K725" s="1413"/>
      <c r="L725" s="310">
        <f>I725+J725+K725</f>
        <v>1714963</v>
      </c>
      <c r="M725" s="12">
        <f t="shared" si="155"/>
        <v>1</v>
      </c>
      <c r="N725" s="13"/>
    </row>
    <row r="726" spans="2:14" ht="15.75">
      <c r="B726" s="365">
        <v>5200</v>
      </c>
      <c r="C726" s="1768" t="s">
        <v>243</v>
      </c>
      <c r="D726" s="176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68" t="s">
        <v>614</v>
      </c>
      <c r="D734" s="176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68" t="s">
        <v>672</v>
      </c>
      <c r="D737" s="176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4" t="s">
        <v>673</v>
      </c>
      <c r="D738" s="176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0" t="s">
        <v>900</v>
      </c>
      <c r="D743" s="177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66" t="s">
        <v>681</v>
      </c>
      <c r="D747" s="176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66" t="s">
        <v>681</v>
      </c>
      <c r="D748" s="176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1731157</v>
      </c>
      <c r="K752" s="398">
        <f t="shared" si="169"/>
        <v>0</v>
      </c>
      <c r="L752" s="395">
        <f t="shared" si="169"/>
        <v>1731157</v>
      </c>
      <c r="M752" s="12">
        <f t="shared" si="166"/>
        <v>1</v>
      </c>
      <c r="N752" s="73" t="str">
        <f>LEFT(C634,1)</f>
        <v>8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40">
        <f>$B$7</f>
        <v>0</v>
      </c>
      <c r="J14" s="1741"/>
      <c r="K14" s="174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2">
        <f>$B$9</f>
        <v>0</v>
      </c>
      <c r="J16" s="1743"/>
      <c r="K16" s="174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5">
        <f>$B$12</f>
        <v>0</v>
      </c>
      <c r="J19" s="1746"/>
      <c r="K19" s="1747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8" t="str">
        <f>CONCATENATE("Уточнен план ",$C$3)</f>
        <v>Уточнен план </v>
      </c>
      <c r="M23" s="1749"/>
      <c r="N23" s="1749"/>
      <c r="O23" s="1750"/>
      <c r="P23" s="1751" t="str">
        <f>CONCATENATE("Отчет ",$C$3)</f>
        <v>Отчет </v>
      </c>
      <c r="Q23" s="1752"/>
      <c r="R23" s="1752"/>
      <c r="S23" s="175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6" t="s">
        <v>730</v>
      </c>
      <c r="K30" s="175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733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189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194</v>
      </c>
      <c r="K47" s="176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195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4" t="s">
        <v>266</v>
      </c>
      <c r="K66" s="176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4" t="s">
        <v>708</v>
      </c>
      <c r="K70" s="176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4" t="s">
        <v>214</v>
      </c>
      <c r="K76" s="176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4" t="s">
        <v>216</v>
      </c>
      <c r="K79" s="176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4" t="s">
        <v>217</v>
      </c>
      <c r="K80" s="175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4" t="s">
        <v>218</v>
      </c>
      <c r="K81" s="175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4" t="s">
        <v>1647</v>
      </c>
      <c r="K82" s="175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4" t="s">
        <v>219</v>
      </c>
      <c r="K83" s="176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4" t="s">
        <v>228</v>
      </c>
      <c r="K98" s="176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4" t="s">
        <v>229</v>
      </c>
      <c r="K99" s="176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4" t="s">
        <v>230</v>
      </c>
      <c r="K100" s="176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4" t="s">
        <v>231</v>
      </c>
      <c r="K101" s="176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4" t="s">
        <v>1648</v>
      </c>
      <c r="K108" s="176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4" t="s">
        <v>1645</v>
      </c>
      <c r="K112" s="176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4" t="s">
        <v>1646</v>
      </c>
      <c r="K113" s="176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4" t="s">
        <v>241</v>
      </c>
      <c r="K114" s="175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4" t="s">
        <v>267</v>
      </c>
      <c r="K115" s="176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8" t="s">
        <v>242</v>
      </c>
      <c r="K118" s="176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8" t="s">
        <v>243</v>
      </c>
      <c r="K119" s="176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8" t="s">
        <v>614</v>
      </c>
      <c r="K127" s="176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8" t="s">
        <v>672</v>
      </c>
      <c r="K130" s="176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4" t="s">
        <v>673</v>
      </c>
      <c r="K131" s="176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0" t="s">
        <v>900</v>
      </c>
      <c r="K136" s="177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66" t="s">
        <v>681</v>
      </c>
      <c r="K140" s="176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6" t="s">
        <v>681</v>
      </c>
      <c r="K141" s="176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2023-12-11T06:34:37Z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