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<sst xmlns="http://schemas.openxmlformats.org/spreadsheetml/2006/main" count="3028" uniqueCount="2089">
  <si>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</si>
  <si>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</si>
  <si>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</si>
  <si>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</si>
  <si>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</si>
  <si>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</si>
  <si>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</si>
  <si>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</si>
  <si>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</si>
  <si>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</si>
  <si>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</si>
  <si>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</si>
  <si>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</si>
  <si>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</si>
  <si>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</si>
  <si>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</si>
  <si>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</si>
  <si>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</si>
  <si>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</si>
  <si>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</si>
  <si>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</si>
  <si>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</si>
  <si>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</si>
  <si>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</si>
  <si>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</si>
  <si>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</si>
  <si>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</si>
  <si>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</si>
  <si>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</si>
  <si>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</si>
  <si>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</si>
  <si>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</si>
  <si>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</si>
  <si>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</si>
  <si>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</si>
  <si>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</si>
  <si>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</si>
  <si>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</si>
  <si>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</si>
  <si>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</si>
  <si>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</si>
  <si>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</si>
  <si>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</si>
  <si>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</si>
  <si>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</si>
  <si>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</si>
  <si>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</si>
  <si>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</si>
  <si>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</si>
  <si>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</si>
  <si>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</si>
  <si>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</si>
  <si>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</si>
  <si>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</si>
  <si>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</si>
  <si>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</si>
  <si>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</si>
  <si>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</si>
  <si>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</si>
  <si>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</si>
  <si>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</si>
  <si>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</si>
  <si>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</si>
  <si>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</si>
  <si>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</si>
  <si>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</si>
  <si>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</si>
  <si>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</si>
  <si>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</si>
  <si>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</si>
  <si>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</si>
  <si>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</si>
  <si>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</si>
  <si>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</si>
  <si>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</si>
  <si>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</si>
  <si>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</si>
  <si>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</si>
  <si>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</si>
  <si>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</si>
  <si>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</si>
  <si>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</si>
  <si>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</si>
  <si>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</si>
  <si>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</si>
  <si>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</si>
  <si>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</si>
  <si>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</si>
  <si>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</si>
  <si>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</si>
  <si>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</si>
  <si>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</si>
  <si>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</si>
  <si>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</si>
  <si>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</si>
  <si>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</si>
  <si>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</si>
  <si>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</si>
  <si>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</si>
  <si>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</si>
  <si>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</si>
  <si>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</si>
  <si>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</si>
  <si>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</si>
  <si>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</si>
  <si>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</si>
  <si>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</si>
  <si>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</si>
  <si>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</si>
  <si>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</si>
  <si>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</si>
  <si>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</si>
  <si>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</si>
  <si>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</si>
  <si>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</si>
  <si>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</si>
  <si>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</si>
  <si>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</si>
  <si>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</si>
  <si>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</si>
  <si>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</si>
  <si>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</si>
  <si>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</si>
  <si>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</si>
  <si>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</si>
  <si>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</si>
  <si>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</si>
  <si>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</si>
  <si>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</si>
  <si>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</si>
  <si>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</si>
  <si>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</si>
  <si>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</si>
  <si>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</si>
  <si>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</si>
  <si>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</si>
  <si>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</si>
  <si>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</si>
  <si>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</si>
  <si>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</si>
  <si>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</si>
  <si>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</si>
  <si>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</si>
  <si>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</si>
  <si>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</si>
  <si>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</si>
  <si>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</si>
  <si>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</si>
  <si>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</si>
  <si>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</si>
  <si>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</si>
  <si>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</si>
  <si>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</si>
  <si>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</si>
  <si>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</si>
  <si>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</si>
  <si>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</si>
  <si>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</si>
  <si>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</si>
  <si>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</si>
  <si>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</si>
  <si>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</si>
  <si>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</si>
  <si>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</si>
  <si>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</si>
  <si>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</si>
  <si>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</si>
  <si>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</si>
  <si>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</si>
  <si>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</si>
  <si>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</si>
  <si>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</si>
  <si>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</si>
  <si>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</si>
  <si>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</si>
  <si>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</si>
  <si>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</si>
  <si>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</si>
  <si>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</si>
  <si>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</si>
  <si>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</si>
  <si>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</si>
  <si>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</si>
  <si>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</si>
  <si>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</si>
  <si>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</si>
  <si>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</si>
  <si>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</si>
  <si>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</si>
  <si>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</si>
  <si>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</si>
  <si>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</si>
  <si>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</si>
  <si>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</si>
  <si>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</si>
  <si>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</si>
  <si>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</si>
  <si>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</si>
  <si>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</si>
  <si>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</si>
  <si>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</si>
  <si>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</si>
  <si>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</si>
  <si>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</si>
  <si>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</si>
  <si>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</si>
  <si>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</si>
  <si>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</si>
  <si>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</si>
  <si>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</si>
  <si>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</si>
  <si>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</si>
  <si>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</si>
  <si>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</si>
  <si>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</si>
  <si>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</si>
  <si>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</si>
  <si>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</si>
  <si>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</si>
  <si>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</si>
  <si>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</si>
  <si>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</si>
  <si>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</si>
  <si>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</si>
  <si>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</si>
  <si>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</si>
  <si>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</si>
  <si>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</si>
  <si>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</si>
  <si>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</si>
  <si>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</si>
  <si>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</si>
  <si>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</si>
  <si>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</si>
  <si>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</si>
  <si>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</si>
  <si>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</si>
  <si>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</si>
  <si>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</si>
  <si>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</si>
  <si>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</si>
  <si>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</si>
  <si>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</si>
  <si>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</si>
  <si>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</si>
  <si>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</si>
  <si>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</si>
  <si>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</si>
  <si>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</si>
  <si>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</si>
  <si>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</si>
  <si>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</si>
  <si>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</si>
  <si>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</si>
  <si>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</si>
  <si>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</si>
  <si>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</si>
  <si>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</si>
  <si>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</si>
  <si>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</si>
  <si>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</si>
  <si>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</si>
  <si>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</si>
  <si>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</si>
  <si>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</si>
  <si>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</si>
  <si>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</si>
  <si>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</si>
  <si>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</si>
  <si>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</si>
  <si>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</si>
  <si>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</si>
  <si>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</si>
  <si>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</si>
  <si>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</si>
  <si>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</si>
  <si>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</si>
  <si>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</si>
  <si>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</si>
  <si>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</si>
  <si>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</si>
  <si>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</si>
  <si>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</si>
  <si>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</si>
  <si>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</si>
  <si>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</si>
  <si>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</si>
  <si>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</si>
  <si>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</si>
  <si>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</si>
  <si>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</si>
  <si>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</si>
  <si>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</si>
  <si>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</si>
  <si>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</si>
  <si>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</si>
  <si>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</si>
  <si>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</si>
  <si>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</si>
  <si>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</si>
  <si>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</si>
  <si>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</si>
  <si>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</si>
  <si>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</si>
  <si>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</si>
  <si>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</si>
  <si>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</si>
  <si>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</si>
  <si>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</si>
  <si>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</si>
  <si>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</si>
  <si>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</si>
  <si>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</si>
  <si>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</si>
  <si>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</si>
  <si>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</si>
  <si>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</si>
  <si>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</si>
  <si>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</si>
  <si>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</si>
  <si>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</si>
  <si>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</si>
  <si>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</si>
  <si>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</si>
  <si>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</si>
  <si>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</si>
  <si>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</si>
  <si>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</si>
  <si>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</si>
  <si>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</si>
  <si>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</si>
  <si>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</si>
  <si>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</si>
  <si>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</si>
  <si>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</si>
  <si>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</si>
  <si>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</si>
  <si>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</si>
  <si>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</si>
  <si>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</si>
  <si>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</si>
  <si>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</si>
  <si>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</si>
  <si>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</si>
  <si>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</si>
  <si>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</si>
  <si>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</si>
  <si>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</si>
  <si>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</si>
  <si>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</si>
  <si>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</si>
  <si>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</si>
  <si>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</si>
  <si>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</si>
  <si>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</si>
  <si>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</si>
  <si>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</si>
  <si>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</si>
  <si>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</si>
  <si>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</si>
  <si>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</si>
  <si>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</si>
  <si>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</si>
  <si>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</si>
  <si>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</si>
  <si>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</si>
  <si>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</si>
  <si>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</si>
  <si>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</si>
  <si>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</si>
  <si>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</si>
  <si>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</si>
  <si>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</si>
  <si>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</si>
  <si>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</si>
  <si>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</si>
  <si>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</si>
  <si>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</si>
  <si>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</si>
  <si>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</si>
  <si>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</si>
  <si>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</si>
  <si>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</si>
  <si>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</si>
  <si>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</si>
  <si>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</si>
  <si>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</si>
  <si>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</si>
  <si>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</si>
  <si>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</si>
  <si>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</si>
  <si>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</si>
  <si>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</si>
  <si>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</si>
  <si>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</si>
  <si>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</si>
  <si>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</si>
  <si>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</si>
  <si>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</si>
  <si>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</si>
  <si>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</si>
  <si>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</si>
  <si>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</si>
  <si>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</si>
  <si>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</si>
  <si>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</si>
  <si>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</si>
  <si>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</si>
  <si>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</si>
  <si>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</si>
  <si>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</si>
  <si>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</si>
  <si>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</si>
  <si>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</si>
  <si>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</si>
  <si>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</si>
  <si>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</si>
  <si>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</si>
  <si>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</si>
  <si>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</si>
  <si>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</si>
  <si>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</si>
  <si>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</si>
  <si>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</si>
  <si>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</si>
  <si>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</si>
  <si>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</si>
  <si>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</si>
  <si>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</si>
  <si>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</si>
  <si>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</si>
  <si>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</si>
  <si>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</si>
  <si>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</si>
  <si>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</si>
  <si>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</si>
  <si>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</si>
  <si>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</si>
  <si>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</si>
  <si>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</si>
  <si>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</si>
  <si>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</si>
  <si>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</si>
  <si>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</si>
  <si>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</si>
  <si>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</si>
  <si>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</si>
  <si>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</si>
  <si>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</si>
  <si>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</si>
  <si>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</si>
  <si>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</si>
  <si>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</si>
  <si>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</si>
  <si>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</si>
  <si>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</si>
  <si>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</si>
  <si>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</si>
  <si>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</si>
  <si>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</si>
  <si>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</si>
  <si>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</si>
  <si>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</si>
  <si>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</si>
  <si>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</si>
  <si>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</si>
  <si>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</si>
  <si>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</si>
  <si>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</si>
  <si>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</si>
  <si>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</si>
  <si>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</si>
  <si>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</si>
  <si>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</si>
  <si>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</si>
  <si>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</si>
  <si>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</si>
  <si>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</si>
  <si>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</si>
  <si>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</si>
  <si>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</si>
  <si>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</si>
  <si>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</si>
  <si>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</si>
  <si>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</si>
  <si>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</si>
  <si>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</si>
  <si>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</si>
  <si>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</si>
  <si>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</si>
  <si>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</si>
  <si>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</si>
  <si>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</si>
  <si>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</si>
  <si>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</si>
  <si>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</si>
  <si>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</si>
  <si>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</si>
  <si>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</si>
  <si>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</si>
  <si>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</si>
  <si>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</si>
  <si>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</si>
  <si>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</si>
  <si>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</si>
  <si>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</si>
  <si>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</si>
  <si>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</si>
  <si>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</si>
  <si>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</si>
  <si>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</si>
  <si>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</si>
  <si>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</si>
  <si>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</si>
  <si>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</si>
  <si>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</si>
  <si>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</si>
  <si>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</si>
  <si>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</si>
  <si>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</si>
  <si>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</si>
  <si>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</si>
  <si>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</si>
  <si>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</si>
  <si>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</si>
  <si>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</si>
  <si>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</si>
  <si>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</si>
  <si>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</si>
  <si>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</si>
  <si>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</si>
  <si>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</si>
  <si>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</si>
  <si>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</si>
  <si>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</si>
  <si>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</si>
  <si>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</si>
  <si>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</si>
  <si>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</si>
  <si>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</si>
  <si>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</si>
  <si>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</si>
  <si>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</si>
  <si>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</si>
  <si>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</si>
  <si>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</si>
  <si>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</si>
  <si>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</si>
  <si>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</si>
  <si>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</si>
  <si>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</si>
  <si>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</si>
  <si>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</si>
  <si>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</si>
  <si>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</si>
  <si>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</si>
  <si>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</si>
  <si>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</si>
  <si>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</si>
  <si>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</si>
  <si>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</si>
  <si>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</si>
  <si>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</si>
  <si>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</si>
  <si>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</si>
  <si>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</si>
  <si>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</si>
  <si>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</si>
  <si>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</si>
  <si>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</si>
  <si>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</si>
  <si>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</si>
  <si>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</si>
  <si>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</si>
  <si>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</si>
  <si>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</si>
  <si>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</si>
  <si>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</si>
  <si>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</si>
  <si>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</si>
  <si>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</si>
  <si>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</si>
  <si>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</si>
  <si>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</si>
  <si>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</si>
  <si>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</si>
  <si>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</si>
  <si>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</si>
  <si>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</si>
  <si>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</si>
  <si>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</si>
  <si>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</si>
  <si>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</si>
  <si>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</si>
  <si>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</si>
  <si>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</si>
  <si>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</si>
  <si>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</si>
  <si>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</si>
  <si>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</si>
  <si>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</si>
  <si>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</si>
  <si>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</si>
  <si>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</si>
  <si>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</si>
  <si>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</si>
  <si>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</si>
  <si>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</si>
  <si>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</si>
  <si>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</si>
  <si>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</si>
  <si>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</si>
  <si>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</si>
  <si>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</si>
  <si>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</si>
  <si>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</si>
  <si>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</si>
  <si>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</si>
  <si>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</si>
  <si>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</si>
  <si>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</si>
  <si>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</si>
  <si>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</si>
  <si>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</si>
  <si>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</si>
  <si>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</si>
  <si>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</si>
  <si>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</si>
  <si>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</si>
  <si>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</si>
  <si>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</si>
  <si>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</si>
  <si>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</si>
  <si>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</si>
  <si>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</si>
  <si>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</si>
  <si>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</si>
  <si>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</si>
  <si>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</si>
  <si>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</si>
  <si>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</si>
  <si>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</si>
  <si>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</si>
  <si>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</si>
  <si>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</si>
  <si>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</si>
  <si>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</si>
  <si>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</si>
  <si>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</si>
  <si>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</si>
  <si>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</si>
  <si>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</si>
  <si>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</si>
  <si>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</si>
  <si>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</si>
  <si>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</si>
  <si>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</si>
  <si>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</si>
  <si>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</si>
  <si>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</si>
  <si>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</si>
  <si>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</si>
  <si>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</si>
  <si>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</si>
  <si>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</si>
  <si>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</si>
  <si>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</si>
  <si>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</si>
  <si>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</si>
  <si>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</si>
  <si>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</si>
  <si>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</si>
  <si>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</si>
  <si>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</si>
  <si>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</si>
  <si>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</si>
  <si>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</si>
  <si>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</si>
  <si>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</si>
  <si>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</si>
  <si>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</si>
  <si>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</si>
  <si>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</si>
  <si>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</si>
  <si>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</si>
  <si>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</si>
  <si>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</si>
  <si>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</si>
  <si>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</si>
  <si>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</si>
  <si>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</si>
  <si>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</si>
  <si>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</si>
  <si>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</si>
  <si>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</si>
  <si>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</si>
  <si>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</si>
  <si>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</si>
  <si>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</si>
  <si>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</si>
  <si>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</si>
  <si>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</si>
  <si>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</si>
  <si>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</si>
  <si>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</si>
  <si>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</si>
  <si>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</si>
  <si>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</si>
  <si>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</si>
  <si>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</si>
  <si>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</si>
  <si>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</si>
  <si>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</si>
  <si>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</si>
  <si>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</si>
  <si>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</si>
  <si>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</si>
  <si>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</si>
  <si>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</si>
  <si>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</si>
  <si>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</si>
  <si>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</si>
  <si>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</si>
  <si>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</si>
  <si>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</si>
  <si>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</si>
  <si>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</si>
  <si>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</si>
  <si>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</si>
  <si>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</si>
  <si>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</si>
  <si>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</si>
  <si>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</si>
  <si>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</si>
  <si>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</si>
  <si>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</si>
  <si>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</si>
  <si>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</si>
  <si>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</si>
  <si>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</si>
  <si>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</si>
  <si>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</si>
  <si>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</si>
  <si>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</si>
  <si>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</si>
  <si>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</si>
  <si>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</si>
  <si>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</si>
  <si>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</si>
  <si>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</si>
  <si>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</si>
  <si>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</si>
  <si>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</si>
  <si>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</si>
  <si>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</si>
  <si>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</si>
  <si>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</si>
  <si>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</si>
  <si>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</si>
  <si>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</si>
  <si>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</si>
  <si>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</si>
  <si>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</si>
  <si>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</si>
  <si>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</si>
  <si>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</si>
  <si>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</si>
  <si>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</si>
  <si>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</si>
  <si>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</si>
  <si>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</si>
  <si>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</si>
  <si>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</si>
  <si>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</si>
  <si>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</si>
  <si>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</si>
  <si>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</si>
  <si>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</si>
  <si>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</si>
  <si>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</si>
  <si>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</si>
  <si>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</si>
  <si>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</si>
  <si>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</si>
  <si>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</si>
  <si>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</si>
  <si>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</si>
  <si>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</si>
  <si>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</si>
  <si>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</si>
  <si>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</si>
  <si>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</si>
  <si>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</si>
  <si>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</si>
  <si>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</si>
  <si>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</si>
  <si>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</si>
  <si>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</si>
  <si>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</si>
  <si>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</si>
  <si>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</si>
  <si>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</si>
  <si>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</si>
  <si>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</si>
  <si>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</si>
  <si>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</si>
  <si>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</si>
  <si>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</si>
  <si>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</si>
  <si>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</si>
  <si>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</si>
  <si>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</si>
  <si>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</si>
  <si>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</si>
  <si>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</si>
  <si>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</si>
  <si>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</si>
  <si>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</si>
  <si>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</si>
  <si>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</si>
  <si>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</si>
  <si>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</si>
  <si>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</si>
  <si>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</si>
  <si>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</si>
  <si>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</si>
  <si>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</si>
  <si>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</si>
  <si>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</si>
  <si>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</si>
  <si>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</si>
  <si>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</si>
  <si>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</si>
  <si>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</si>
  <si>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</si>
  <si>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</si>
  <si>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</si>
  <si>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</si>
  <si>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</si>
  <si>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</si>
  <si>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</si>
  <si>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</si>
  <si>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</si>
  <si>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</si>
  <si>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</si>
  <si>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</si>
  <si>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</si>
  <si>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</si>
  <si>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</si>
  <si>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</si>
  <si>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</si>
  <si>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</si>
  <si>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</si>
  <si>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</si>
  <si>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</si>
  <si>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</si>
  <si>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</si>
  <si>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</si>
  <si>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</si>
  <si>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</si>
  <si>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</si>
  <si>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</si>
  <si>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</si>
  <si>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</si>
  <si>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</si>
  <si>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</si>
  <si>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</si>
  <si>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</si>
  <si>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</si>
  <si>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</si>
  <si>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</si>
  <si>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</si>
  <si>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</si>
  <si>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</si>
  <si>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</si>
  <si>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</si>
  <si>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</si>
  <si>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</si>
  <si>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</si>
  <si>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</si>
  <si>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</si>
  <si>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</si>
  <si>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</si>
  <si>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</si>
  <si>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</si>
  <si>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</si>
  <si>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</si>
  <si>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</si>
  <si>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</si>
  <si>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</si>
  <si>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</si>
  <si>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</si>
  <si>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</si>
  <si>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</si>
  <si>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</si>
  <si>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</si>
  <si>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</si>
  <si>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</si>
  <si>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</si>
  <si>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</si>
  <si>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</si>
  <si>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</si>
  <si>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</si>
  <si>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</si>
  <si>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</si>
  <si>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</si>
  <si>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</si>
  <si>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</si>
  <si>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</si>
  <si>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</si>
  <si>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</si>
  <si>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</si>
  <si>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</si>
  <si>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</si>
  <si>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</si>
  <si>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</si>
  <si>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</si>
  <si>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</si>
  <si>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</si>
  <si>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</si>
  <si>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</si>
  <si>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</si>
  <si>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</si>
  <si>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</si>
  <si>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</si>
  <si>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</si>
  <si>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</si>
  <si>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</si>
  <si>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</si>
  <si>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</si>
  <si>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</si>
  <si>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</si>
  <si>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</si>
  <si>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</si>
  <si>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</si>
  <si>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</si>
  <si>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</si>
  <si>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</si>
  <si>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</si>
  <si>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</si>
  <si>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</si>
  <si>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</si>
  <si>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</si>
  <si>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</si>
  <si>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</si>
  <si>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</si>
  <si>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</si>
  <si>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</si>
  <si>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</si>
  <si>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</si>
  <si>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</si>
  <si>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</si>
  <si>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</si>
  <si>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</si>
  <si>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</si>
  <si>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</si>
  <si>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</si>
  <si>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</si>
  <si>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</si>
  <si>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</si>
  <si>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</si>
  <si>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</si>
  <si>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</si>
  <si>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</si>
  <si>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</si>
  <si>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</si>
  <si>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</si>
  <si>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</si>
  <si>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</si>
  <si>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</si>
  <si>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</si>
  <si>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</si>
  <si>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</si>
  <si>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</si>
  <si>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</si>
  <si>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</si>
  <si>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</si>
  <si>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</si>
  <si>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</si>
  <si>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</si>
  <si>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</si>
  <si>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</si>
  <si>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</si>
  <si>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</si>
  <si>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</si>
  <si>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</si>
  <si>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</si>
  <si>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</si>
  <si>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</si>
  <si>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</si>
  <si>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</si>
  <si>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</si>
  <si>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</si>
  <si>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</si>
  <si>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</si>
  <si>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</si>
  <si>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</si>
  <si>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</si>
  <si>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</si>
  <si>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</si>
  <si>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</si>
  <si>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</si>
  <si>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</si>
  <si>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</si>
  <si>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</si>
  <si>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</si>
  <si>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</si>
  <si>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</si>
  <si>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</si>
  <si>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</si>
  <si>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</si>
  <si>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</si>
  <si>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</si>
  <si>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</si>
  <si>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</si>
  <si>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</si>
  <si>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</si>
  <si>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</si>
  <si>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</si>
  <si>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</si>
  <si>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</si>
  <si>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</si>
  <si>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</si>
  <si>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</si>
  <si>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</si>
  <si>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</si>
  <si>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</si>
  <si>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</si>
  <si>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</si>
  <si>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</si>
  <si>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</si>
  <si>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</si>
  <si>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</si>
  <si>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</si>
  <si>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</si>
  <si>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</si>
  <si>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</si>
  <si>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</si>
  <si>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</si>
  <si>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</si>
  <si>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</si>
  <si>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</si>
  <si>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</si>
  <si>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</si>
  <si>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</si>
  <si>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</si>
  <si>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</si>
  <si>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</si>
  <si>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</si>
  <si>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</si>
  <si>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</si>
  <si>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</si>
  <si>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</si>
  <si>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</si>
  <si>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</si>
  <si>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</si>
  <si>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</si>
  <si>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</si>
  <si>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</si>
  <si>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</si>
  <si>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</si>
  <si>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</si>
  <si>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</si>
  <si>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</si>
  <si>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</si>
  <si>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</si>
  <si>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</si>
  <si>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</si>
  <si>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</si>
  <si>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</si>
  <si>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</si>
  <si>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</si>
  <si>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</si>
  <si>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</si>
  <si>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</si>
  <si>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</si>
  <si>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</si>
  <si>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</si>
  <si>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</si>
  <si>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</si>
  <si>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</si>
  <si>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</si>
  <si>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</si>
  <si>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</si>
  <si>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</si>
  <si>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</si>
  <si>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</si>
  <si>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</si>
  <si>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</si>
  <si>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</si>
  <si>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</si>
  <si>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</si>
  <si>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</si>
  <si>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</si>
  <si>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</si>
  <si>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</si>
  <si>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</si>
  <si>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</si>
  <si>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</si>
  <si>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</si>
  <si>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</si>
  <si>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</si>
  <si>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</si>
  <si>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</si>
  <si>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</si>
  <si>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</si>
  <si>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</si>
  <si>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</si>
  <si>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</si>
  <si>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</si>
  <si>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</si>
  <si>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</si>
  <si>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</si>
  <si>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</si>
  <si>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</si>
  <si>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</si>
  <si>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</si>
  <si>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</si>
  <si>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</si>
  <si>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</si>
  <si>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</si>
  <si>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</si>
  <si>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</si>
  <si>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</si>
  <si>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</si>
  <si>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</si>
  <si>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</si>
  <si>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</si>
  <si>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</si>
  <si>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</si>
  <si>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</si>
  <si>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</si>
  <si>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</si>
  <si>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</si>
  <si>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</si>
  <si>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</si>
  <si>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</si>
  <si>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</si>
  <si>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</si>
  <si>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</si>
  <si>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</si>
  <si>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</si>
  <si>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</si>
  <si>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</si>
  <si>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</si>
  <si>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</si>
  <si>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</si>
  <si>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</si>
  <si>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</si>
  <si>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</si>
  <si>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</si>
  <si>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</si>
  <si>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</si>
  <si>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</si>
  <si>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</si>
  <si>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</si>
  <si>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</si>
  <si>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</si>
  <si>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</si>
  <si>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</si>
  <si>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</si>
  <si>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</si>
  <si>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</si>
  <si>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</si>
  <si>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</si>
  <si>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</si>
  <si>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</si>
  <si>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</si>
  <si>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</si>
  <si>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</si>
  <si>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</si>
  <si>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</si>
  <si>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</si>
  <si>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</si>
  <si>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</si>
  <si>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</si>
  <si>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</si>
  <si>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</si>
  <si>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</si>
  <si>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</si>
  <si>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</si>
  <si>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</si>
  <si>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</si>
  <si>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</si>
  <si>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</si>
  <si>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</si>
  <si>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</si>
  <si>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</si>
  <si>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</si>
  <si>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</si>
  <si>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</si>
  <si>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</si>
  <si>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</si>
  <si>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</si>
  <si>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</si>
  <si>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</si>
  <si>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</si>
  <si>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</si>
  <si>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</si>
  <si>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</si>
  <si>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</si>
  <si>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</si>
  <si>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</si>
  <si>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</si>
  <si>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</si>
  <si>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</si>
  <si>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</si>
  <si>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</si>
  <si>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</si>
  <si>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</si>
  <si>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</si>
  <si>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</si>
  <si>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</si>
  <si>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</si>
  <si>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</si>
  <si>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</si>
  <si>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</si>
  <si>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</si>
  <si>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</si>
  <si>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</si>
  <si>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</si>
  <si>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</si>
  <si>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</si>
  <si>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</si>
  <si>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</si>
  <si>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</si>
  <si>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</si>
  <si>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</si>
  <si>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</si>
  <si>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</si>
  <si>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</si>
  <si>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</si>
  <si>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</si>
  <si>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</si>
  <si>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</si>
  <si>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</si>
  <si>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</si>
  <si>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</si>
  <si>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</si>
  <si>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</si>
  <si>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</si>
  <si>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</si>
  <si>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</si>
  <si>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</si>
  <si>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</si>
  <si>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</si>
  <si>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</si>
  <si>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</si>
  <si>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</si>
  <si>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</si>
  <si>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</si>
  <si>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</si>
  <si>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</si>
  <si>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</si>
  <si>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</si>
  <si>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</si>
  <si>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</si>
  <si>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</si>
  <si>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</si>
  <si>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</si>
  <si>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</si>
  <si>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</si>
  <si>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</si>
  <si>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</si>
  <si>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</si>
  <si>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</si>
  <si>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</si>
  <si>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</si>
  <si>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</si>
  <si>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</si>
  <si>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</si>
  <si>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</si>
  <si>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</si>
  <si>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</si>
  <si>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</si>
  <si>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</si>
  <si>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</si>
  <si>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</si>
  <si>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</si>
  <si>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</si>
  <si>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</si>
  <si>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</si>
  <si>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</si>
  <si>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</si>
  <si>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</si>
  <si>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</si>
  <si>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</si>
  <si>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</si>
  <si>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</si>
  <si>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</si>
  <si>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</si>
  <si>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</si>
  <si>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</si>
  <si>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</si>
  <si>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</si>
  <si>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</si>
  <si>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</si>
  <si>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</si>
  <si>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</si>
  <si>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</si>
  <si>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</si>
  <si>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</si>
  <si>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</si>
  <si>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</si>
  <si>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</si>
  <si>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</si>
  <si>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</si>
  <si>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</si>
  <si>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</si>
  <si>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</si>
  <si>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</si>
  <si>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</si>
  <si>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</si>
  <si>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</si>
  <si>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</si>
  <si>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</si>
  <si>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</si>
  <si>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</si>
  <si>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</si>
  <si>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</si>
  <si>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</si>
  <si>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</si>
  <si>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</si>
  <si>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</si>
  <si>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</si>
  <si>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</si>
  <si>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</si>
  <si>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</si>
  <si>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</si>
  <si>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</si>
  <si>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</si>
  <si>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</si>
  <si>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</si>
  <si>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</si>
  <si>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</si>
  <si>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</si>
  <si>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</si>
  <si>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</si>
  <si>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</si>
  <si>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</si>
  <si>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</si>
  <si>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</si>
  <si>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</si>
  <si>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</si>
  <si>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</si>
  <si>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</si>
  <si>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</si>
  <si>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</si>
  <si>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</si>
  <si>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</si>
  <si>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</si>
  <si>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</si>
  <si>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</si>
  <si>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</si>
  <si>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</si>
  <si>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</si>
  <si>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</si>
  <si>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</si>
  <si>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</si>
  <si>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</si>
  <si>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</si>
  <si>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</si>
  <si>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</si>
  <si>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</si>
  <si>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</si>
  <si>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</si>
  <si>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</si>
  <si>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</si>
  <si>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</si>
  <si>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</si>
  <si>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</si>
  <si>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</si>
  <si>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</si>
  <si>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</si>
  <si>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</si>
  <si>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</si>
  <si>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</si>
  <si>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</si>
  <si>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</si>
  <si>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</si>
  <si>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</si>
  <si>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</si>
  <si>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</si>
  <si>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</si>
  <si>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</si>
  <si>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</si>
  <si>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</si>
  <si>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</si>
  <si>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</si>
  <si>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</si>
  <si>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</si>
  <si>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</si>
  <si>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</si>
  <si>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</si>
  <si>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</si>
  <si>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</si>
  <si>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</si>
  <si>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</si>
  <si>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</si>
  <si>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</si>
  <si>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</si>
  <si>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</si>
  <si>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</si>
  <si>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</si>
  <si>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</si>
  <si>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</si>
  <si>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</si>
  <si>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</si>
  <si>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</si>
  <si>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</si>
  <si>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</si>
  <si>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</si>
  <si>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</si>
  <si>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</si>
  <si>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</si>
  <si>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</si>
  <si>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</si>
  <si>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</si>
  <si>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</si>
  <si>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</si>
  <si>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</si>
  <si>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</si>
  <si>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</si>
  <si>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</si>
  <si>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</si>
  <si>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</si>
  <si>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</si>
  <si>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</si>
  <si>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</si>
  <si>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</si>
  <si>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</si>
  <si>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</si>
  <si>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</si>
  <si>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</si>
  <si>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</si>
  <si>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</si>
  <si>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</si>
  <si>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</si>
  <si>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</si>
  <si>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</si>
  <si>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</si>
  <si>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</si>
  <si>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</si>
  <si>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</si>
  <si>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</si>
  <si>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</si>
  <si>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</si>
  <si>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</si>
  <si>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</si>
  <si>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</si>
  <si>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</si>
  <si>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</si>
  <si>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</si>
  <si>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</si>
  <si>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</si>
  <si>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</si>
  <si>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</si>
  <si>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</si>
  <si>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</si>
  <si>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</si>
  <si>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</si>
  <si>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</si>
  <si>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</si>
  <si>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</si>
  <si>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</si>
  <si>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</si>
  <si>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</si>
  <si>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</si>
  <si>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</si>
  <si>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</si>
  <si>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</si>
  <si>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</si>
  <si>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</si>
  <si>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</si>
  <si>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</si>
  <si>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</si>
  <si>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</si>
  <si>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</si>
  <si>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</si>
  <si>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</si>
  <si>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</si>
  <si>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</si>
  <si>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</si>
  <si>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</si>
  <si>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</si>
  <si>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</si>
  <si>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</si>
  <si>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</si>
  <si>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</si>
  <si>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</si>
  <si>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</si>
  <si>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</si>
  <si>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</si>
  <si>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</si>
  <si>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</si>
  <si>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</si>
  <si>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</si>
  <si>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</si>
  <si>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</si>
  <si>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</si>
  <si>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</si>
  <si>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</si>
  <si>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</si>
  <si>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</si>
  <si>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</si>
  <si>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</si>
  <si>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</si>
  <si>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</si>
  <si>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</si>
  <si>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</si>
  <si>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</si>
  <si>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</si>
  <si>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</si>
  <si>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</si>
  <si>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</si>
  <si>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</si>
  <si>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</si>
  <si>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</si>
  <si>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</si>
  <si>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</si>
  <si>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</si>
  <si>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</si>
  <si>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</si>
  <si>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</si>
  <si>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</si>
  <si>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</si>
  <si>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</si>
  <si>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</si>
  <si>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</si>
  <si>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</si>
  <si>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</si>
  <si>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</si>
  <si>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</si>
  <si>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</si>
  <si>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</si>
  <si>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</si>
  <si>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</si>
  <si>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</si>
  <si>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</si>
  <si>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</si>
  <si>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</si>
  <si>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</si>
  <si>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</si>
  <si>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</si>
  <si>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</si>
  <si>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</si>
  <si>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</si>
  <si>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</si>
  <si>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</si>
  <si>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</si>
  <si>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</si>
  <si>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</si>
  <si>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</si>
  <si>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</si>
  <si>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</si>
  <si>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</si>
  <si>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</si>
  <si>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</si>
  <si>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</si>
  <si>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</si>
  <si>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</si>
  <si>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</si>
  <si>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</si>
  <si>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</si>
  <si>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</si>
  <si>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</si>
  <si>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</si>
  <si>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</si>
  <si>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</si>
  <si>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</si>
  <si>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</si>
  <si>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</si>
  <si>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</si>
  <si>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</si>
  <si>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</si>
  <si>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</si>
  <si>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</si>
  <si>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</si>
  <si>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</si>
  <si>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</si>
  <si>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</si>
  <si>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</si>
  <si>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</si>
  <si>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</si>
  <si>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</si>
  <si>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</si>
  <si>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</si>
  <si>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</si>
  <si>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</si>
  <si>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</si>
  <si>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</si>
  <si>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</si>
  <si>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</si>
  <si>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</si>
  <si>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</si>
  <si>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</si>
  <si>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</si>
  <si>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</si>
  <si>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</si>
  <si>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</si>
  <si>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</si>
  <si>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</si>
  <si>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</si>
  <si>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</si>
  <si>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</si>
  <si>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</si>
  <si>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</si>
  <si>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</si>
  <si>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</si>
  <si>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</si>
  <si>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</si>
  <si>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</si>
  <si>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</si>
  <si>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</si>
  <si>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</si>
  <si>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</si>
  <si>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</si>
  <si>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</si>
  <si>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</si>
  <si>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</si>
  <si>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</si>
  <si>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</si>
  <si>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</si>
  <si>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</si>
  <si>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</si>
  <si>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</si>
  <si>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</si>
  <si>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</si>
  <si>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</si>
  <si>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</si>
  <si>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</si>
  <si>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</si>
  <si>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</si>
  <si>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</si>
  <si>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</si>
  <si>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</si>
  <si>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</si>
  <si>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</si>
  <si>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</si>
  <si>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</si>
  <si>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</si>
  <si>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</si>
  <si>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</si>
  <si>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</si>
  <si>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</si>
  <si>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</si>
  <si>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</si>
  <si>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</si>
  <si>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</si>
  <si>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</si>
  <si>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</si>
  <si>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</si>
  <si>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</si>
  <si>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</si>
  <si>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</si>
  <si>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</si>
  <si>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</si>
  <si>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</si>
  <si>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</si>
  <si>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</si>
  <si>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</si>
  <si>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</si>
  <si>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</si>
  <si>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</si>
  <si>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</si>
  <si>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</si>
  <si>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</si>
  <si>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</si>
  <si>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</si>
  <si>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</si>
  <si>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</si>
  <si>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</si>
  <si>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</si>
  <si>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</si>
  <si>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</si>
  <si>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</si>
  <si>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</si>
  <si>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</si>
  <si>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</si>
  <si>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</si>
  <si>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</si>
  <si>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</si>
  <si>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</si>
  <si>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</si>
  <si>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</si>
  <si>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</si>
  <si>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</si>
  <si>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</si>
  <si>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</si>
  <si>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</si>
  <si>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</si>
  <si>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</si>
  <si>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</si>
  <si>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</si>
  <si>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</si>
  <si>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</si>
  <si>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</si>
  <si>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</si>
  <si>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</si>
  <si>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</si>
  <si>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</si>
  <si>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</si>
  <si>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</si>
  <si>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</si>
  <si>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</si>
  <si>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</si>
  <si>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</si>
  <si>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</si>
  <si>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</si>
  <si>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</si>
  <si>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</si>
  <si>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</si>
  <si>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</si>
  <si>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</si>
  <si>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</si>
  <si>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</si>
  <si>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</si>
  <si>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</si>
  <si>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</si>
  <si>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</si>
  <si>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</si>
  <si>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</si>
  <si>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</si>
  <si>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</si>
  <si>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</si>
  <si>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</si>
  <si>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</si>
  <si>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</si>
  <si>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</si>
  <si>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</si>
  <si>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</si>
  <si>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</si>
  <si>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</si>
  <si>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</si>
  <si>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</si>
  <si>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</si>
  <si>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</si>
  <si>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</si>
  <si>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</si>
  <si>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</si>
  <si>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</si>
  <si>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</si>
  <si>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</si>
  <si>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</si>
  <si>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</si>
  <si>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</si>
  <si>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</si>
  <si>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</si>
  <si>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</si>
  <si>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</si>
  <si>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</si>
  <si>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</si>
  <si>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</si>
  <si>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</si>
  <si>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</si>
  <si>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</si>
  <si>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</si>
  <si>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</si>
  <si>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</si>
  <si>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</si>
  <si>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</si>
  <si>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</si>
  <si>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</si>
  <si>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</si>
  <si>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</si>
  <si>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</si>
  <si>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</si>
  <si>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</si>
  <si>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</si>
  <si>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</si>
  <si>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</si>
  <si>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</si>
  <si>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</si>
  <si>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</si>
  <si>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</si>
  <si>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</si>
  <si>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</si>
  <si>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</si>
  <si>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</si>
  <si>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</si>
  <si>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</si>
  <si>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</si>
  <si>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</si>
  <si>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</si>
  <si>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</si>
  <si>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</si>
  <si>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</si>
  <si>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</si>
  <si>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</si>
  <si>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</si>
  <si>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</si>
  <si>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</si>
  <si>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</si>
  <si>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</si>
  <si>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</si>
  <si>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</si>
  <si>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</si>
  <si>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</si>
  <si>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</si>
  <si>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</si>
  <si>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</si>
  <si>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</si>
  <si>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</si>
  <si>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</si>
  <si>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</si>
  <si>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</si>
  <si>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</si>
  <si>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</si>
  <si>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</si>
  <si>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</si>
  <si>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</si>
  <si>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</si>
  <si>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</si>
  <si>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</si>
  <si>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</si>
  <si>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</si>
  <si>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</si>
  <si>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</si>
  <si>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</si>
  <si>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</si>
  <si>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</si>
  <si>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</si>
  <si>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</si>
  <si>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</si>
  <si>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</si>
  <si>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</si>
  <si>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</si>
  <si>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</si>
  <si>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</si>
  <si>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</si>
  <si>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</si>
  <si>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</si>
  <si>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</si>
  <si>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</si>
  <si>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</si>
  <si>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</si>
  <si>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</si>
  <si>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</si>
  <si>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</si>
  <si>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</si>
  <si>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</si>
  <si>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</si>
  <si>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</si>
  <si>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</si>
  <si>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</si>
  <si>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</si>
  <si>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</si>
  <si>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</si>
  <si>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</si>
  <si>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</si>
  <si>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</si>
  <si>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</si>
  <si>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</si>
  <si>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</si>
  <si>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</si>
  <si>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</si>
  <si>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</si>
  <si>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</si>
  <si>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</si>
  <si>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</si>
  <si>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</si>
  <si>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</si>
  <si>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</si>
  <si>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</si>
  <si>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</si>
  <si>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</si>
  <si>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</si>
  <si>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</si>
  <si>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</si>
  <si>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</si>
  <si>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</si>
  <si>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</si>
  <si>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</si>
  <si>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</si>
  <si>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</si>
  <si>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</si>
  <si>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</si>
  <si>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</si>
  <si>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</si>
  <si>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</si>
  <si>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</si>
  <si>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</si>
  <si>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</si>
  <si>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</si>
  <si>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</si>
  <si>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</si>
  <si>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</si>
  <si>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</si>
  <si>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</si>
  <si>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</si>
  <si>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</si>
  <si>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</si>
  <si>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</si>
  <si>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</si>
  <si>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</si>
  <si>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</si>
  <si>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</si>
  <si>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</si>
  <si>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</si>
  <si>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</si>
  <si>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</si>
  <si>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</si>
  <si>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</si>
  <si>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</si>
  <si>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</si>
  <si>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</si>
  <si>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</si>
  <si>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</si>
  <si>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</si>
  <si>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</si>
  <si>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</si>
  <si>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</si>
  <si>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</si>
  <si>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</si>
  <si>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</si>
  <si>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</si>
  <si>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</si>
  <si>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</si>
  <si>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</si>
  <si>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</si>
  <si>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</si>
  <si>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</si>
  <si>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</si>
  <si>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</si>
  <si>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</si>
  <si>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</si>
  <si>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</si>
  <si>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</si>
  <si>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</si>
  <si>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</si>
  <si>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</si>
  <si>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</si>
  <si>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</si>
  <si>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</si>
  <si>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</si>
  <si>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</si>
  <si>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</si>
  <si>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</si>
  <si>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</si>
  <si>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</si>
  <si>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</si>
  <si>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</si>
  <si>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</si>
  <si>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</si>
  <si>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</si>
  <si>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</si>
  <si>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</si>
  <si>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</si>
  <si>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</si>
  <si>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</si>
  <si>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</si>
  <si>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</si>
  <si>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</si>
  <si>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</si>
  <si>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</si>
  <si>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</si>
  <si>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</si>
  <si>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</si>
  <si>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</si>
  <si>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</si>
  <si>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</si>
  <si>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</si>
  <si>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</si>
  <si>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</si>
  <si>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</si>
  <si>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</si>
  <si>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</si>
  <si>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</si>
  <si>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</si>
  <si>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</si>
  <si>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</si>
  <si>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</si>
  <si>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</si>
  <si>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</si>
  <si>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</si>
  <si>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</si>
  <si>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</si>
  <si>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</si>
  <si>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</si>
  <si>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</si>
  <si>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</si>
  <si>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</si>
  <si>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</si>
  <si>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</si>
  <si>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</si>
  <si>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</si>
  <si>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</si>
  <si>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</si>
  <si>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</si>
  <si>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</si>
  <si>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</si>
  <si>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</si>
  <si>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</si>
  <si>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</si>
  <si>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</si>
  <si>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</si>
  <si>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</si>
  <si>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</si>
  <si>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</si>
  <si>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</si>
  <si>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</si>
  <si>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</si>
  <si>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</si>
  <si>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</si>
  <si>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</si>
  <si>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</si>
  <si>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</si>
  <si>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</si>
  <si>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</si>
  <si>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</si>
  <si>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</si>
  <si>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</si>
  <si>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</si>
  <si>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</si>
  <si>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</si>
  <si>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</si>
  <si>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</si>
  <si>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</si>
  <si>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</si>
  <si>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</si>
  <si>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</si>
  <si>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</si>
  <si>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</si>
  <si>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</si>
  <si>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</si>
  <si>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</si>
  <si>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</si>
  <si>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</si>
  <si>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</si>
  <si>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</si>
  <si>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</si>
  <si>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</si>
  <si>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</si>
  <si>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</si>
  <si>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</si>
  <si>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</si>
  <si>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</si>
  <si>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</si>
  <si>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</si>
  <si>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</si>
  <si>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</si>
  <si>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</si>
  <si>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</si>
  <si>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</si>
  <si>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</si>
  <si>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</si>
  <si>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</si>
  <si>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</si>
  <si>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</si>
  <si>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</si>
  <si>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</si>
  <si>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</si>
  <si>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</si>
  <si>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</si>
  <si>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</si>
  <si>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</si>
  <si>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</si>
  <si>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</si>
  <si>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</si>
  <si>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</si>
  <si>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</si>
  <si>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</si>
  <si>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</si>
  <si>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</si>
  <si>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</si>
  <si>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</si>
  <si>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</si>
  <si>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</si>
  <si>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</si>
  <si>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</si>
  <si>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</si>
  <si>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</si>
  <si>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</si>
  <si>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</si>
  <si>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</si>
  <si>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</si>
  <si>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</si>
  <si>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</si>
  <si>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</si>
  <si>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</si>
  <si>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</si>
  <si>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</si>
  <si>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</si>
  <si>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</si>
  <si>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b894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</si>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</sst>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 t="str">
        <f>+OTCHET!B9</f>
        <v>Твърдица</v>
      </c>
      <c r="C2" s="1664"/>
      <c r="D2" s="1665"/>
      <c r="E2" s="1008"/>
      <c r="F2" s="1009">
        <f>+OTCHET!H9</f>
        <v>0</v>
      </c>
      <c r="G2" s="1010" t="str">
        <f>+OTCHET!F12</f>
        <v>7004</v>
      </c>
      <c r="H2" s="1011"/>
      <c r="I2" s="1666">
        <f>+OTCHET!H607</f>
        <v>0</v>
      </c>
      <c r="J2" s="1667"/>
      <c r="K2" s="1002"/>
      <c r="L2" s="1668">
        <f>OTCHET!H605</f>
        <v>0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981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3" t="s">
        <v>984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674">
        <f>+Q4</f>
        <v>2022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5" t="s">
        <v>963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678" t="s">
        <v>964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1001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4" t="s">
        <v>1982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7" t="s">
        <v>1981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4" t="s">
        <v>1003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1005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1007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4" t="s">
        <v>1009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1011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1013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0" t="s">
        <v>1983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1016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1" t="s">
        <v>1019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4" t="s">
        <v>1021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0" t="s">
        <v>1023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1025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3" t="s">
        <v>1032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6" t="s">
        <v>1034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9" t="s">
        <v>1036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2" t="s">
        <v>1038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3" t="s">
        <v>1040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1" t="s">
        <v>1043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4" t="s">
        <v>1045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4" t="s">
        <v>1046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0" t="s">
        <v>1048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1050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1052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4901</v>
      </c>
      <c r="K51" s="1084"/>
      <c r="L51" s="1091">
        <f>+IF($P$2=33,$Q51,0)</f>
        <v>0</v>
      </c>
      <c r="M51" s="1084"/>
      <c r="N51" s="1121">
        <f>+ROUND(+G51+J51+L51,0)</f>
        <v>4901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4901</v>
      </c>
      <c r="R51" s="1035"/>
      <c r="S51" s="1681" t="s">
        <v>1056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4" t="s">
        <v>1058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1060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7392</v>
      </c>
      <c r="K54" s="1084"/>
      <c r="L54" s="1109">
        <f>+IF($P$2=33,$Q54,0)</f>
        <v>0</v>
      </c>
      <c r="M54" s="1084"/>
      <c r="N54" s="1110">
        <f>+ROUND(+G54+J54+L54,0)</f>
        <v>7392</v>
      </c>
      <c r="O54" s="1086"/>
      <c r="P54" s="1108">
        <f>+ROUND(OTCHET!E187+OTCHET!E190,0)</f>
        <v>0</v>
      </c>
      <c r="Q54" s="1109">
        <f>+ROUND(OTCHET!L187+OTCHET!L190,0)</f>
        <v>7392</v>
      </c>
      <c r="R54" s="1035"/>
      <c r="S54" s="1684" t="s">
        <v>1062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1406</v>
      </c>
      <c r="K55" s="1084"/>
      <c r="L55" s="1109">
        <f>+IF($P$2=33,$Q55,0)</f>
        <v>0</v>
      </c>
      <c r="M55" s="1084"/>
      <c r="N55" s="1110">
        <f>+ROUND(+G55+J55+L55,0)</f>
        <v>1406</v>
      </c>
      <c r="O55" s="1086"/>
      <c r="P55" s="1108">
        <f>+ROUND(OTCHET!E196+OTCHET!E204,0)</f>
        <v>0</v>
      </c>
      <c r="Q55" s="1109">
        <f>+ROUND(OTCHET!L196+OTCHET!L204,0)</f>
        <v>1406</v>
      </c>
      <c r="R55" s="1035"/>
      <c r="S55" s="1690" t="s">
        <v>1064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13699</v>
      </c>
      <c r="K56" s="1084"/>
      <c r="L56" s="1197">
        <f>+ROUND(+SUM(L51:L55),0)</f>
        <v>0</v>
      </c>
      <c r="M56" s="1084"/>
      <c r="N56" s="1198">
        <f>+ROUND(+SUM(N51:N55),0)</f>
        <v>13699</v>
      </c>
      <c r="O56" s="1086"/>
      <c r="P56" s="1196">
        <f>+ROUND(+SUM(P51:P55),0)</f>
        <v>0</v>
      </c>
      <c r="Q56" s="1197">
        <f>+ROUND(+SUM(Q51:Q55),0)</f>
        <v>13699</v>
      </c>
      <c r="R56" s="1035"/>
      <c r="S56" s="1693" t="s">
        <v>1066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1069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88137</v>
      </c>
      <c r="K59" s="1084"/>
      <c r="L59" s="1109">
        <f>+IF($P$2=33,$Q59,0)</f>
        <v>0</v>
      </c>
      <c r="M59" s="1084"/>
      <c r="N59" s="1110">
        <f>+ROUND(+G59+J59+L59,0)</f>
        <v>88137</v>
      </c>
      <c r="O59" s="1086"/>
      <c r="P59" s="1108">
        <f>+ROUND(+OTCHET!E275+OTCHET!E276,0)</f>
        <v>0</v>
      </c>
      <c r="Q59" s="1109">
        <f>+ROUND(+OTCHET!L275+OTCHET!L276,0)</f>
        <v>88137</v>
      </c>
      <c r="R59" s="1035"/>
      <c r="S59" s="1684" t="s">
        <v>1071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1073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1075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88137</v>
      </c>
      <c r="K63" s="1084"/>
      <c r="L63" s="1197">
        <f>+ROUND(+SUM(L58:L61),0)</f>
        <v>0</v>
      </c>
      <c r="M63" s="1084"/>
      <c r="N63" s="1198">
        <f>+ROUND(+SUM(N58:N61),0)</f>
        <v>88137</v>
      </c>
      <c r="O63" s="1086"/>
      <c r="P63" s="1196">
        <f>+ROUND(+SUM(P58:P61),0)</f>
        <v>0</v>
      </c>
      <c r="Q63" s="1197">
        <f>+ROUND(+SUM(Q58:Q61),0)</f>
        <v>88137</v>
      </c>
      <c r="R63" s="1035"/>
      <c r="S63" s="1693" t="s">
        <v>1079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1082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1084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1086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1089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1091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1093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17210</v>
      </c>
      <c r="K73" s="1084"/>
      <c r="L73" s="1091">
        <f>+IF($P$2=33,$Q73,0)</f>
        <v>0</v>
      </c>
      <c r="M73" s="1084"/>
      <c r="N73" s="1121">
        <f>+ROUND(+G73+J73+L73,0)</f>
        <v>17210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17210</v>
      </c>
      <c r="R73" s="1035"/>
      <c r="S73" s="1681" t="s">
        <v>1096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1098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17210</v>
      </c>
      <c r="K75" s="1084"/>
      <c r="L75" s="1197">
        <f>+ROUND(+SUM(L73:L74),0)</f>
        <v>0</v>
      </c>
      <c r="M75" s="1084"/>
      <c r="N75" s="1198">
        <f>+ROUND(+SUM(N73:N74),0)</f>
        <v>17210</v>
      </c>
      <c r="O75" s="1086"/>
      <c r="P75" s="1196">
        <f>+ROUND(+SUM(P73:P74),0)</f>
        <v>0</v>
      </c>
      <c r="Q75" s="1197">
        <f>+ROUND(+SUM(Q73:Q74),0)</f>
        <v>17210</v>
      </c>
      <c r="R75" s="1035"/>
      <c r="S75" s="1693" t="s">
        <v>1100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119046</v>
      </c>
      <c r="K77" s="1084"/>
      <c r="L77" s="1222">
        <f>+ROUND(L56+L63+L67+L71+L75,0)</f>
        <v>0</v>
      </c>
      <c r="M77" s="1084"/>
      <c r="N77" s="1223">
        <f>+ROUND(N56+N63+N67+N71+N75,0)</f>
        <v>119046</v>
      </c>
      <c r="O77" s="1086"/>
      <c r="P77" s="1220">
        <f>+ROUND(P56+P63+P67+P71+P75,0)</f>
        <v>0</v>
      </c>
      <c r="Q77" s="1221">
        <f>+ROUND(Q56+Q63+Q67+Q71+Q75,0)</f>
        <v>119046</v>
      </c>
      <c r="R77" s="1035"/>
      <c r="S77" s="1708" t="s">
        <v>1102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81" t="s">
        <v>1105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4" t="s">
        <v>1107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711" t="s">
        <v>1109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76349</v>
      </c>
      <c r="K83" s="1084"/>
      <c r="L83" s="1244">
        <f>+ROUND(L48,0)-ROUND(L77,0)+ROUND(L81,0)</f>
        <v>0</v>
      </c>
      <c r="M83" s="1084"/>
      <c r="N83" s="1245">
        <f>+ROUND(N48,0)-ROUND(N77,0)+ROUND(N81,0)</f>
        <v>76349</v>
      </c>
      <c r="O83" s="1246"/>
      <c r="P83" s="1243">
        <f>+ROUND(P48,0)-ROUND(P77,0)+ROUND(P81,0)</f>
        <v>0</v>
      </c>
      <c r="Q83" s="1244">
        <f>+ROUND(Q48,0)-ROUND(Q77,0)+ROUND(Q81,0)</f>
        <v>76349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-76349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-76349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-76349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1115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1117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1119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1122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1124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1126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1128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1130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1133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1135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1137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1139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1143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1145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1147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1150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1152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1154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1157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1159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1161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1164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1166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1168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1170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1173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-76349</v>
      </c>
      <c r="K123" s="1084"/>
      <c r="L123" s="1109">
        <f>+IF($P$2=33,$Q123,0)</f>
        <v>0</v>
      </c>
      <c r="M123" s="1084"/>
      <c r="N123" s="1110">
        <f>+ROUND(+G123+J123+L123,0)</f>
        <v>-76349</v>
      </c>
      <c r="O123" s="1086"/>
      <c r="P123" s="1108">
        <f>+ROUND(OTCHET!E524,0)</f>
        <v>0</v>
      </c>
      <c r="Q123" s="1109">
        <f>+ROUND(OTCHET!L524,0)</f>
        <v>-76349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1177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1179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-76349</v>
      </c>
      <c r="K127" s="1084"/>
      <c r="L127" s="1231">
        <f>+ROUND(+SUM(L122:L126),0)</f>
        <v>0</v>
      </c>
      <c r="M127" s="1084"/>
      <c r="N127" s="1232">
        <f>+ROUND(+SUM(N122:N126),0)</f>
        <v>-76349</v>
      </c>
      <c r="O127" s="1086"/>
      <c r="P127" s="1230">
        <f>+ROUND(+SUM(P122:P126),0)</f>
        <v>0</v>
      </c>
      <c r="Q127" s="1231">
        <f>+ROUND(+SUM(Q122:Q126),0)</f>
        <v>-76349</v>
      </c>
      <c r="R127" s="1035"/>
      <c r="S127" s="1711" t="s">
        <v>1181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1184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1186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1188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1190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44847</v>
      </c>
      <c r="D134" s="1236" t="s">
        <v>1192</v>
      </c>
      <c r="E134" s="1008"/>
      <c r="F134" s="1730"/>
      <c r="G134" s="1730"/>
      <c r="H134" s="1008"/>
      <c r="I134" s="1293" t="s">
        <v>1193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5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2022 г.</v>
      </c>
      <c r="F17" s="1739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8"/>
      <c r="F18" s="1740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119046</v>
      </c>
      <c r="G38" s="837">
        <f>G39+G43+G44+G46+SUM(G48:G52)+G55</f>
        <v>119046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8798</v>
      </c>
      <c r="G39" s="800">
        <f>SUM(G40:G42)</f>
        <v>8798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7392</v>
      </c>
      <c r="G40" s="863">
        <f>OTCHET!I187</f>
        <v>7392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1406</v>
      </c>
      <c r="G42" s="1624">
        <f>+OTCHET!I196+OTCHET!I204</f>
        <v>1406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4901</v>
      </c>
      <c r="G43" s="805">
        <f>+OTCHET!I205+OTCHET!I223+OTCHET!I271</f>
        <v>4901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17210</v>
      </c>
      <c r="G48" s="805">
        <f>+OTCHET!I265+OTCHET!I269+OTCHET!I270</f>
        <v>17210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88137</v>
      </c>
      <c r="G49" s="805">
        <f>OTCHET!I275+OTCHET!I276+OTCHET!I284+OTCHET!I287</f>
        <v>88137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76349</v>
      </c>
      <c r="G64" s="917">
        <f>+G22-G38+G56-G63</f>
        <v>76349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-76349</v>
      </c>
      <c r="G66" s="927">
        <f>SUM(+G68+G76+G77+G84+G85+G86+G89+G90+G91+G92+G93+G94+G95)</f>
        <v>-76349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-76349</v>
      </c>
      <c r="G86" s="895">
        <f>+G87+G88</f>
        <v>-76349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-76349</v>
      </c>
      <c r="G88" s="953">
        <f>+OTCHET!I521+OTCHET!I524+OTCHET!I544</f>
        <v>-76349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1" t="s">
        <v>975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 t="str">
        <f>+OTCHET!D603</f>
        <v>Ирина Азманова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 t="str">
        <f>+OTCHET!G600</f>
        <v>Диана Димитрова</v>
      </c>
      <c r="F114" s="1742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СРЕДСТВАТА ОТ ЕВРОПЕЙСКИЯ СЪЮЗ - ДМП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1854</v>
      </c>
      <c r="C9" s="1798"/>
      <c r="D9" s="1799"/>
      <c r="E9" s="115">
        <f>DATE($C$3,1,1)</f>
        <v>44562</v>
      </c>
      <c r="F9" s="116">
        <v>44834</v>
      </c>
      <c r="G9" s="113"/>
      <c r="H9" s="1404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44" t="s">
        <v>957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Твърдица</v>
      </c>
      <c r="C12" s="1801"/>
      <c r="D12" s="1802"/>
      <c r="E12" s="118" t="s">
        <v>951</v>
      </c>
      <c r="F12" s="1571" t="s">
        <v>1534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3" t="str">
        <f>CONCATENATE("Уточнен план ",$C$3," - ПРИХОДИ")</f>
        <v>Уточнен план 2022 - ПРИХОДИ</v>
      </c>
      <c r="F19" s="1764"/>
      <c r="G19" s="1764"/>
      <c r="H19" s="1765"/>
      <c r="I19" s="1778" t="str">
        <f>CONCATENATE("Отчет ",$C$3," - ПРИХОДИ")</f>
        <v>Отчет 2022 - ПРИХОДИ</v>
      </c>
      <c r="J19" s="1779"/>
      <c r="K19" s="1779"/>
      <c r="L19" s="178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465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467</v>
      </c>
      <c r="D28" s="179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3" t="str">
        <f>$B$7</f>
        <v>ОТЧЕТНИ ДАННИ ПО ЕБК ЗА СМЕТКИТЕ ЗА СРЕДСТВАТА ОТ ЕВРОПЕЙСКИЯ СЪЮЗ - ДМП</v>
      </c>
      <c r="C174" s="1804"/>
      <c r="D174" s="180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Твърдица</v>
      </c>
      <c r="C179" s="1801"/>
      <c r="D179" s="1802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3" t="str">
        <f>CONCATENATE("Уточнен план ",$C$3," - РАЗХОДИ - рекапитулация")</f>
        <v>Уточнен план 2022 - РАЗХОДИ - рекапитулация</v>
      </c>
      <c r="F183" s="1764"/>
      <c r="G183" s="1764"/>
      <c r="H183" s="1765"/>
      <c r="I183" s="1766" t="str">
        <f>CONCATENATE("Отчет ",$C$3," - РАЗХОДИ - рекапитулация")</f>
        <v>Отчет 2022 - РАЗХОДИ - рекапитулация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733</v>
      </c>
      <c r="D187" s="177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7392</v>
      </c>
      <c r="J187" s="275">
        <f t="shared" si="41"/>
        <v>0</v>
      </c>
      <c r="K187" s="276">
        <f t="shared" si="41"/>
        <v>0</v>
      </c>
      <c r="L187" s="273">
        <f t="shared" si="41"/>
        <v>7392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7392</v>
      </c>
      <c r="J188" s="283">
        <f t="shared" si="43"/>
        <v>0</v>
      </c>
      <c r="K188" s="284">
        <f t="shared" si="43"/>
        <v>0</v>
      </c>
      <c r="L188" s="281">
        <f t="shared" si="43"/>
        <v>7392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3" t="s">
        <v>736</v>
      </c>
      <c r="D190" s="175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1" t="s">
        <v>192</v>
      </c>
      <c r="D196" s="177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1406</v>
      </c>
      <c r="J196" s="275">
        <f t="shared" si="46"/>
        <v>0</v>
      </c>
      <c r="K196" s="276">
        <f t="shared" si="46"/>
        <v>0</v>
      </c>
      <c r="L196" s="273">
        <f t="shared" si="46"/>
        <v>1406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844</v>
      </c>
      <c r="J197" s="283">
        <f t="shared" si="47"/>
        <v>0</v>
      </c>
      <c r="K197" s="284">
        <f t="shared" si="47"/>
        <v>0</v>
      </c>
      <c r="L197" s="281">
        <f t="shared" si="47"/>
        <v>844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355</v>
      </c>
      <c r="J200" s="297">
        <f t="shared" si="47"/>
        <v>0</v>
      </c>
      <c r="K200" s="298">
        <f t="shared" si="47"/>
        <v>0</v>
      </c>
      <c r="L200" s="295">
        <f t="shared" si="47"/>
        <v>355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207</v>
      </c>
      <c r="J201" s="297">
        <f t="shared" si="47"/>
        <v>0</v>
      </c>
      <c r="K201" s="298">
        <f t="shared" si="47"/>
        <v>0</v>
      </c>
      <c r="L201" s="295">
        <f t="shared" si="47"/>
        <v>207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3" t="s">
        <v>197</v>
      </c>
      <c r="D204" s="177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3" t="s">
        <v>198</v>
      </c>
      <c r="D205" s="175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4901</v>
      </c>
      <c r="J205" s="275">
        <f t="shared" si="48"/>
        <v>0</v>
      </c>
      <c r="K205" s="276">
        <f t="shared" si="48"/>
        <v>0</v>
      </c>
      <c r="L205" s="310">
        <f t="shared" si="48"/>
        <v>4901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4696</v>
      </c>
      <c r="J210" s="297">
        <f t="shared" si="49"/>
        <v>0</v>
      </c>
      <c r="K210" s="298">
        <f t="shared" si="49"/>
        <v>0</v>
      </c>
      <c r="L210" s="295">
        <f t="shared" si="49"/>
        <v>4696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205</v>
      </c>
      <c r="J214" s="322">
        <f t="shared" si="49"/>
        <v>0</v>
      </c>
      <c r="K214" s="323">
        <f t="shared" si="49"/>
        <v>0</v>
      </c>
      <c r="L214" s="320">
        <f t="shared" si="49"/>
        <v>205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3" t="s">
        <v>269</v>
      </c>
      <c r="D223" s="174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3" t="s">
        <v>711</v>
      </c>
      <c r="D227" s="174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3" t="s">
        <v>217</v>
      </c>
      <c r="D233" s="174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3" t="s">
        <v>219</v>
      </c>
      <c r="D236" s="174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1" t="s">
        <v>220</v>
      </c>
      <c r="D237" s="175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1" t="s">
        <v>221</v>
      </c>
      <c r="D238" s="175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1" t="s">
        <v>1646</v>
      </c>
      <c r="D239" s="175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3" t="s">
        <v>222</v>
      </c>
      <c r="D240" s="174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3" t="s">
        <v>231</v>
      </c>
      <c r="D255" s="174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3" t="s">
        <v>232</v>
      </c>
      <c r="D256" s="174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3" t="s">
        <v>233</v>
      </c>
      <c r="D257" s="174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3" t="s">
        <v>234</v>
      </c>
      <c r="D258" s="174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3" t="s">
        <v>1651</v>
      </c>
      <c r="D265" s="174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3" t="s">
        <v>1648</v>
      </c>
      <c r="D269" s="174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3" t="s">
        <v>1649</v>
      </c>
      <c r="D270" s="174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17210</v>
      </c>
      <c r="J270" s="275">
        <f t="shared" si="66"/>
        <v>0</v>
      </c>
      <c r="K270" s="276">
        <f t="shared" si="66"/>
        <v>0</v>
      </c>
      <c r="L270" s="310">
        <f t="shared" si="66"/>
        <v>17210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1" t="s">
        <v>244</v>
      </c>
      <c r="D271" s="175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3" t="s">
        <v>270</v>
      </c>
      <c r="D272" s="174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245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88137</v>
      </c>
      <c r="J275" s="275">
        <f t="shared" si="68"/>
        <v>0</v>
      </c>
      <c r="K275" s="276">
        <f t="shared" si="68"/>
        <v>0</v>
      </c>
      <c r="L275" s="310">
        <f t="shared" si="68"/>
        <v>88137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7" t="s">
        <v>246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617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675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3" t="s">
        <v>676</v>
      </c>
      <c r="D288" s="174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9" t="s">
        <v>903</v>
      </c>
      <c r="D293" s="175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5" t="s">
        <v>684</v>
      </c>
      <c r="D297" s="174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119046</v>
      </c>
      <c r="J301" s="397">
        <f t="shared" si="77"/>
        <v>0</v>
      </c>
      <c r="K301" s="398">
        <f t="shared" si="77"/>
        <v>0</v>
      </c>
      <c r="L301" s="395">
        <f t="shared" si="77"/>
        <v>119046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8"/>
      <c r="C344" s="1808"/>
      <c r="D344" s="180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3" t="str">
        <f>$B$7</f>
        <v>ОТЧЕТНИ ДАННИ ПО ЕБК ЗА СМЕТКИТЕ ЗА СРЕДСТВАТА ОТ ЕВРОПЕЙСКИЯ СЪЮЗ - ДМП</v>
      </c>
      <c r="C348" s="1813"/>
      <c r="D348" s="181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Твърдица</v>
      </c>
      <c r="C353" s="1801"/>
      <c r="D353" s="1802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1" t="str">
        <f>CONCATENATE("Уточнен план ",$C$3," - ТРАНСФЕРИ и ВРЕМ. БЕЗЛ. ЗАЕМИ")</f>
        <v>Уточнен план 2022 -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2022 -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1" t="s">
        <v>273</v>
      </c>
      <c r="D361" s="181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9" t="s">
        <v>284</v>
      </c>
      <c r="D375" s="181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9" t="s">
        <v>306</v>
      </c>
      <c r="D383" s="181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9" t="s">
        <v>250</v>
      </c>
      <c r="D388" s="181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9" t="s">
        <v>251</v>
      </c>
      <c r="D391" s="1810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9" t="s">
        <v>253</v>
      </c>
      <c r="D396" s="181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9" t="s">
        <v>254</v>
      </c>
      <c r="D399" s="181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2">
        <v>0</v>
      </c>
      <c r="G400" s="1602"/>
      <c r="H400" s="154">
        <v>0</v>
      </c>
      <c r="I400" s="152">
        <v>195395</v>
      </c>
      <c r="J400" s="1602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9" t="s">
        <v>910</v>
      </c>
      <c r="D402" s="181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9" t="s">
        <v>670</v>
      </c>
      <c r="D405" s="181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9" t="s">
        <v>671</v>
      </c>
      <c r="D406" s="181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9" t="s">
        <v>689</v>
      </c>
      <c r="D409" s="181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9" t="s">
        <v>257</v>
      </c>
      <c r="D412" s="181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9" t="s">
        <v>756</v>
      </c>
      <c r="D422" s="181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9" t="s">
        <v>694</v>
      </c>
      <c r="D423" s="181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9" t="s">
        <v>258</v>
      </c>
      <c r="D424" s="181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9" t="s">
        <v>673</v>
      </c>
      <c r="D425" s="1810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9" t="s">
        <v>914</v>
      </c>
      <c r="D426" s="181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6" t="str">
        <f>$B$7</f>
        <v>ОТЧЕТНИ ДАННИ ПО ЕБК ЗА СМЕТКИТЕ ЗА СРЕДСТВАТА ОТ ЕВРОПЕЙСКИЯ СЪЮЗ - ДМП</v>
      </c>
      <c r="C433" s="1817"/>
      <c r="D433" s="181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Твърдица</v>
      </c>
      <c r="C438" s="1801"/>
      <c r="D438" s="1802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3" t="str">
        <f>CONCATENATE("Уточнен план ",$C$3," - БЮДЖЕТНО САЛДО")</f>
        <v>Уточнен план 2022 - БЮДЖЕТНО САЛДО</v>
      </c>
      <c r="F442" s="1764"/>
      <c r="G442" s="1764"/>
      <c r="H442" s="1765"/>
      <c r="I442" s="1787" t="str">
        <f>CONCATENATE("Отчет ",$C$3," - БЮДЖЕТНО САЛДО")</f>
        <v>Отчет 2022 -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76349</v>
      </c>
      <c r="J445" s="539">
        <f t="shared" si="99"/>
        <v>0</v>
      </c>
      <c r="K445" s="540">
        <f t="shared" si="99"/>
        <v>0</v>
      </c>
      <c r="L445" s="541">
        <f t="shared" si="99"/>
        <v>76349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-76349</v>
      </c>
      <c r="J446" s="546">
        <f t="shared" si="100"/>
        <v>0</v>
      </c>
      <c r="K446" s="547">
        <f t="shared" si="100"/>
        <v>0</v>
      </c>
      <c r="L446" s="548">
        <f>+L597</f>
        <v>-76349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ДМП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Твърдица</v>
      </c>
      <c r="C454" s="1801"/>
      <c r="D454" s="1802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5" t="str">
        <f>CONCATENATE("Уточнен план ",$C$3," - ФИНАНСИРАНЕ НА БЮДЖЕТНО САЛДО")</f>
        <v>Уточнен план 2022 - ФИНАНСИРАНЕ НА БЮДЖЕТНО САЛДО</v>
      </c>
      <c r="F458" s="1776"/>
      <c r="G458" s="1776"/>
      <c r="H458" s="1777"/>
      <c r="I458" s="1790" t="str">
        <f>CONCATENATE("Отчет ",$C$3," -ФИНАНСИРАНЕ НА БЮДЖЕТНО САЛДО")</f>
        <v>Отчет 2022 -ФИНАНСИРАНЕ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4" t="s">
        <v>757</v>
      </c>
      <c r="D461" s="181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1" t="s">
        <v>760</v>
      </c>
      <c r="D465" s="183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1" t="s">
        <v>1944</v>
      </c>
      <c r="D468" s="183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4" t="s">
        <v>763</v>
      </c>
      <c r="D471" s="181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2" t="s">
        <v>770</v>
      </c>
      <c r="D478" s="183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0" t="s">
        <v>918</v>
      </c>
      <c r="D481" s="182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3" t="s">
        <v>923</v>
      </c>
      <c r="D497" s="182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3" t="s">
        <v>24</v>
      </c>
      <c r="D502" s="182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5" t="s">
        <v>924</v>
      </c>
      <c r="D503" s="182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0" t="s">
        <v>33</v>
      </c>
      <c r="D512" s="182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0" t="s">
        <v>37</v>
      </c>
      <c r="D516" s="182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0" t="s">
        <v>925</v>
      </c>
      <c r="D521" s="182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3" t="s">
        <v>926</v>
      </c>
      <c r="D524" s="181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-76349</v>
      </c>
      <c r="J524" s="569">
        <f t="shared" si="120"/>
        <v>0</v>
      </c>
      <c r="K524" s="570">
        <f t="shared" si="120"/>
        <v>0</v>
      </c>
      <c r="L524" s="567">
        <f t="shared" si="120"/>
        <v>-76349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-76349</v>
      </c>
      <c r="J527" s="159"/>
      <c r="K527" s="574">
        <v>0</v>
      </c>
      <c r="L527" s="1376">
        <f t="shared" si="116"/>
        <v>-76349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1" t="s">
        <v>310</v>
      </c>
      <c r="D531" s="182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0" t="s">
        <v>928</v>
      </c>
      <c r="D535" s="1820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6" t="s">
        <v>929</v>
      </c>
      <c r="D536" s="182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8" t="s">
        <v>930</v>
      </c>
      <c r="D541" s="181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0" t="s">
        <v>931</v>
      </c>
      <c r="D544" s="182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8" t="s">
        <v>940</v>
      </c>
      <c r="D566" s="181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8" t="s">
        <v>945</v>
      </c>
      <c r="D586" s="181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8" t="s">
        <v>822</v>
      </c>
      <c r="D591" s="181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-76349</v>
      </c>
      <c r="J597" s="653">
        <f t="shared" si="133"/>
        <v>0</v>
      </c>
      <c r="K597" s="655">
        <f t="shared" si="133"/>
        <v>0</v>
      </c>
      <c r="L597" s="651">
        <f t="shared" si="133"/>
        <v>-76349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6" t="s">
        <v>2086</v>
      </c>
      <c r="H600" s="1847"/>
      <c r="I600" s="1847"/>
      <c r="J600" s="184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6" t="s">
        <v>866</v>
      </c>
      <c r="H601" s="1836"/>
      <c r="I601" s="1836"/>
      <c r="J601" s="183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8" t="s">
        <v>2087</v>
      </c>
      <c r="H603" s="1829"/>
      <c r="I603" s="1829"/>
      <c r="J603" s="1830"/>
      <c r="K603" s="103"/>
      <c r="L603" s="228"/>
      <c r="M603" s="7">
        <v>1</v>
      </c>
      <c r="N603" s="514"/>
    </row>
    <row r="604" spans="1:14" ht="21.75" customHeight="1">
      <c r="A604" s="23"/>
      <c r="B604" s="1834" t="s">
        <v>869</v>
      </c>
      <c r="C604" s="1835"/>
      <c r="D604" s="661" t="s">
        <v>870</v>
      </c>
      <c r="E604" s="662"/>
      <c r="F604" s="663"/>
      <c r="G604" s="1836" t="s">
        <v>866</v>
      </c>
      <c r="H604" s="1836"/>
      <c r="I604" s="1836"/>
      <c r="J604" s="1836"/>
      <c r="K604" s="103"/>
      <c r="L604" s="228"/>
      <c r="M604" s="7">
        <v>1</v>
      </c>
      <c r="N604" s="514"/>
    </row>
    <row r="605" spans="1:14" ht="24.75" customHeight="1">
      <c r="A605" s="36"/>
      <c r="B605" s="1837">
        <v>44847</v>
      </c>
      <c r="C605" s="1838"/>
      <c r="D605" s="664" t="s">
        <v>871</v>
      </c>
      <c r="E605" s="665" t="s">
        <v>2088</v>
      </c>
      <c r="F605" s="666"/>
      <c r="G605" s="667" t="s">
        <v>872</v>
      </c>
      <c r="H605" s="1839"/>
      <c r="I605" s="1840"/>
      <c r="J605" s="184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55" t="str">
        <f>$B$7</f>
        <v>ОТЧЕТНИ ДАННИ ПО ЕБК ЗА СМЕТКИТЕ ЗА СРЕДСТВАТА ОТ ЕВРОПЕЙСКИЯ СЪЮЗ - ДМП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760" t="str">
        <f>$B$12</f>
        <v>Твърдица</v>
      </c>
      <c r="C626" s="1761"/>
      <c r="D626" s="1762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880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</c>
    </row>
    <row r="630" spans="2:13" ht="18.75">
      <c r="B630" s="247"/>
      <c r="C630" s="248"/>
      <c r="D630" s="249" t="s">
        <v>702</v>
      </c>
      <c r="E630" s="1763" t="str">
        <f>CONCATENATE("Уточнен план ",$C$3)</f>
        <v>Уточнен план 2022</v>
      </c>
      <c r="F630" s="1764"/>
      <c r="G630" s="1764"/>
      <c r="H630" s="1765"/>
      <c r="I630" s="1766" t="str">
        <f>CONCATENATE("Отчет ",$C$3)</f>
        <v>Отчет 2022</v>
      </c>
      <c r="J630" s="1767"/>
      <c r="K630" s="1767"/>
      <c r="L630" s="1768"/>
      <c r="M630" s="7">
        <f>(IF($E752&lt;&gt;0,$M$2,IF($L752&lt;&gt;0,$M$2,"")))</f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57" t="s">
        <v>2051</v>
      </c>
      <c r="C634" s="1447">
        <f>VLOOKUP(D635,EBK_DEIN2,2,FALSE)</f>
        <v>3388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15.75">
      <c r="B635" s="1439"/>
      <c r="C635" s="1572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69" t="s">
        <v>733</v>
      </c>
      <c r="D637" s="1770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3" t="s">
        <v>736</v>
      </c>
      <c r="D640" s="175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1" t="s">
        <v>192</v>
      </c>
      <c r="D646" s="1772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0</v>
      </c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0</v>
      </c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0</v>
      </c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3" t="s">
        <v>197</v>
      </c>
      <c r="D654" s="1774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3" t="s">
        <v>198</v>
      </c>
      <c r="D655" s="175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0</v>
      </c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3" t="s">
        <v>269</v>
      </c>
      <c r="D673" s="174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3" t="s">
        <v>711</v>
      </c>
      <c r="D677" s="174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3" t="s">
        <v>217</v>
      </c>
      <c r="D683" s="174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3" t="s">
        <v>219</v>
      </c>
      <c r="D686" s="174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1" t="s">
        <v>220</v>
      </c>
      <c r="D687" s="1752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1" t="s">
        <v>221</v>
      </c>
      <c r="D688" s="1752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1" t="s">
        <v>1650</v>
      </c>
      <c r="D689" s="1752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3" t="s">
        <v>222</v>
      </c>
      <c r="D690" s="174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3" t="s">
        <v>231</v>
      </c>
      <c r="D705" s="174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3" t="s">
        <v>232</v>
      </c>
      <c r="D706" s="174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3" t="s">
        <v>233</v>
      </c>
      <c r="D707" s="174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3" t="s">
        <v>234</v>
      </c>
      <c r="D708" s="174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3" t="s">
        <v>1651</v>
      </c>
      <c r="D715" s="174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3" t="s">
        <v>1648</v>
      </c>
      <c r="D719" s="174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3" t="s">
        <v>1649</v>
      </c>
      <c r="D720" s="1744"/>
      <c r="E720" s="310">
        <f t="shared" si="160"/>
        <v>0</v>
      </c>
      <c r="F720" s="1411"/>
      <c r="G720" s="1412"/>
      <c r="H720" s="1413"/>
      <c r="I720" s="1411">
        <v>0</v>
      </c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1" t="s">
        <v>244</v>
      </c>
      <c r="D721" s="1752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3" t="s">
        <v>270</v>
      </c>
      <c r="D722" s="174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7" t="s">
        <v>245</v>
      </c>
      <c r="D725" s="1748"/>
      <c r="E725" s="310">
        <f>F725+G725+H725</f>
        <v>0</v>
      </c>
      <c r="F725" s="1411"/>
      <c r="G725" s="1412"/>
      <c r="H725" s="1413"/>
      <c r="I725" s="1411">
        <v>0</v>
      </c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7" t="s">
        <v>246</v>
      </c>
      <c r="D726" s="174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7" t="s">
        <v>617</v>
      </c>
      <c r="D734" s="174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7" t="s">
        <v>675</v>
      </c>
      <c r="D737" s="174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3" t="s">
        <v>676</v>
      </c>
      <c r="D738" s="174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9" t="s">
        <v>903</v>
      </c>
      <c r="D743" s="175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5" t="s">
        <v>684</v>
      </c>
      <c r="D747" s="1746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5" t="s">
        <v>684</v>
      </c>
      <c r="D748" s="1746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55" t="str">
        <f>$B$7</f>
        <v>ОТЧЕТНИ ДАННИ ПО ЕБК ЗА СМЕТКИТЕ ЗА СРЕДСТВАТА ОТ ЕВРОПЕЙСКИЯ СЪЮЗ - ДМП</v>
      </c>
      <c r="C759" s="1756"/>
      <c r="D759" s="175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57" t="str">
        <f>$B$9</f>
        <v>Твърдица</v>
      </c>
      <c r="C761" s="1758"/>
      <c r="D761" s="1759"/>
      <c r="E761" s="115">
        <f>$E$9</f>
        <v>44562</v>
      </c>
      <c r="F761" s="226">
        <f>$F$9</f>
        <v>44834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60" t="str">
        <f>$B$12</f>
        <v>Твърдица</v>
      </c>
      <c r="C764" s="1761"/>
      <c r="D764" s="1762"/>
      <c r="E764" s="410" t="s">
        <v>879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880</v>
      </c>
      <c r="E766" s="238">
        <f>$E$15</f>
        <v>97</v>
      </c>
      <c r="F766" s="414" t="str">
        <f>$F$15</f>
        <v>СЕС - ДМП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702</v>
      </c>
      <c r="E768" s="1763" t="str">
        <f>CONCATENATE("Уточнен план ",$C$3)</f>
        <v>Уточнен план 2022</v>
      </c>
      <c r="F768" s="1764"/>
      <c r="G768" s="1764"/>
      <c r="H768" s="1765"/>
      <c r="I768" s="1766" t="str">
        <f>CONCATENATE("Отчет ",$C$3)</f>
        <v>Отчет 2022</v>
      </c>
      <c r="J768" s="1767"/>
      <c r="K768" s="1767"/>
      <c r="L768" s="176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7" t="s">
        <v>2051</v>
      </c>
      <c r="C772" s="1447">
        <f>VLOOKUP(D773,EBK_DEIN2,2,FALSE)</f>
        <v>4469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4469</v>
      </c>
      <c r="D773" s="1441" t="s">
        <v>19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9" t="s">
        <v>733</v>
      </c>
      <c r="D775" s="1770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7392</v>
      </c>
      <c r="J775" s="275">
        <f t="shared" si="170"/>
        <v>0</v>
      </c>
      <c r="K775" s="276">
        <f t="shared" si="170"/>
        <v>0</v>
      </c>
      <c r="L775" s="273">
        <f t="shared" si="170"/>
        <v>7392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0</v>
      </c>
      <c r="F776" s="152"/>
      <c r="G776" s="153"/>
      <c r="H776" s="1407"/>
      <c r="I776" s="152">
        <v>7392</v>
      </c>
      <c r="J776" s="153"/>
      <c r="K776" s="1407"/>
      <c r="L776" s="281">
        <f>I776+J776+K776</f>
        <v>7392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53" t="s">
        <v>736</v>
      </c>
      <c r="D778" s="1754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1" t="s">
        <v>192</v>
      </c>
      <c r="D784" s="1772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1406</v>
      </c>
      <c r="J784" s="275">
        <f t="shared" si="173"/>
        <v>0</v>
      </c>
      <c r="K784" s="276">
        <f t="shared" si="173"/>
        <v>0</v>
      </c>
      <c r="L784" s="273">
        <f t="shared" si="173"/>
        <v>1406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07"/>
      <c r="I785" s="152">
        <v>844</v>
      </c>
      <c r="J785" s="153"/>
      <c r="K785" s="1407"/>
      <c r="L785" s="281">
        <f aca="true" t="shared" si="175" ref="L785:L792">I785+J785+K785</f>
        <v>844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898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09"/>
      <c r="I788" s="158">
        <v>355</v>
      </c>
      <c r="J788" s="159"/>
      <c r="K788" s="1409"/>
      <c r="L788" s="295">
        <f t="shared" si="175"/>
        <v>355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09"/>
      <c r="I789" s="158">
        <v>207</v>
      </c>
      <c r="J789" s="159"/>
      <c r="K789" s="1409"/>
      <c r="L789" s="295">
        <f t="shared" si="175"/>
        <v>207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3" t="s">
        <v>197</v>
      </c>
      <c r="D792" s="1774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53" t="s">
        <v>198</v>
      </c>
      <c r="D793" s="1754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4901</v>
      </c>
      <c r="J793" s="275">
        <f t="shared" si="176"/>
        <v>0</v>
      </c>
      <c r="K793" s="276">
        <f t="shared" si="176"/>
        <v>0</v>
      </c>
      <c r="L793" s="310">
        <f t="shared" si="176"/>
        <v>4901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09"/>
      <c r="I798" s="158">
        <v>4696</v>
      </c>
      <c r="J798" s="159"/>
      <c r="K798" s="1409"/>
      <c r="L798" s="295">
        <f t="shared" si="178"/>
        <v>4696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>
        <v>205</v>
      </c>
      <c r="J802" s="451"/>
      <c r="K802" s="1417"/>
      <c r="L802" s="320">
        <f t="shared" si="178"/>
        <v>205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43" t="s">
        <v>269</v>
      </c>
      <c r="D811" s="174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43" t="s">
        <v>711</v>
      </c>
      <c r="D815" s="174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43" t="s">
        <v>217</v>
      </c>
      <c r="D821" s="174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43" t="s">
        <v>219</v>
      </c>
      <c r="D824" s="174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1" t="s">
        <v>220</v>
      </c>
      <c r="D825" s="1752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1" t="s">
        <v>221</v>
      </c>
      <c r="D826" s="1752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1" t="s">
        <v>1650</v>
      </c>
      <c r="D827" s="1752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43" t="s">
        <v>222</v>
      </c>
      <c r="D828" s="174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2044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43" t="s">
        <v>231</v>
      </c>
      <c r="D843" s="174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43" t="s">
        <v>232</v>
      </c>
      <c r="D844" s="174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43" t="s">
        <v>233</v>
      </c>
      <c r="D845" s="174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43" t="s">
        <v>234</v>
      </c>
      <c r="D846" s="174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43" t="s">
        <v>1651</v>
      </c>
      <c r="D853" s="174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43" t="s">
        <v>1648</v>
      </c>
      <c r="D857" s="174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43" t="s">
        <v>1649</v>
      </c>
      <c r="D858" s="1744"/>
      <c r="E858" s="310">
        <f t="shared" si="196"/>
        <v>0</v>
      </c>
      <c r="F858" s="1411"/>
      <c r="G858" s="1412"/>
      <c r="H858" s="1413"/>
      <c r="I858" s="1411">
        <v>17210</v>
      </c>
      <c r="J858" s="1412"/>
      <c r="K858" s="1413"/>
      <c r="L858" s="310">
        <f t="shared" si="197"/>
        <v>17210</v>
      </c>
      <c r="M858" s="12">
        <f t="shared" si="191"/>
        <v>1</v>
      </c>
      <c r="N858" s="13"/>
    </row>
    <row r="859" spans="2:14" ht="15.75">
      <c r="B859" s="272">
        <v>4600</v>
      </c>
      <c r="C859" s="1751" t="s">
        <v>244</v>
      </c>
      <c r="D859" s="1752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43" t="s">
        <v>270</v>
      </c>
      <c r="D860" s="174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47" t="s">
        <v>245</v>
      </c>
      <c r="D863" s="1748"/>
      <c r="E863" s="310">
        <f>F863+G863+H863</f>
        <v>0</v>
      </c>
      <c r="F863" s="1411"/>
      <c r="G863" s="1412"/>
      <c r="H863" s="1413"/>
      <c r="I863" s="1411">
        <v>88137</v>
      </c>
      <c r="J863" s="1412"/>
      <c r="K863" s="1413"/>
      <c r="L863" s="310">
        <f>I863+J863+K863</f>
        <v>88137</v>
      </c>
      <c r="M863" s="12">
        <f t="shared" si="191"/>
        <v>1</v>
      </c>
      <c r="N863" s="13"/>
    </row>
    <row r="864" spans="2:14" ht="15.75">
      <c r="B864" s="365">
        <v>5200</v>
      </c>
      <c r="C864" s="1747" t="s">
        <v>246</v>
      </c>
      <c r="D864" s="174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47" t="s">
        <v>617</v>
      </c>
      <c r="D872" s="174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47" t="s">
        <v>675</v>
      </c>
      <c r="D875" s="174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43" t="s">
        <v>676</v>
      </c>
      <c r="D876" s="174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49" t="s">
        <v>903</v>
      </c>
      <c r="D881" s="175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45" t="s">
        <v>684</v>
      </c>
      <c r="D885" s="1746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45" t="s">
        <v>684</v>
      </c>
      <c r="D886" s="1746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119046</v>
      </c>
      <c r="J890" s="397">
        <f t="shared" si="205"/>
        <v>0</v>
      </c>
      <c r="K890" s="398">
        <f t="shared" si="205"/>
        <v>0</v>
      </c>
      <c r="L890" s="395">
        <f t="shared" si="205"/>
        <v>119046</v>
      </c>
      <c r="M890" s="12">
        <f t="shared" si="202"/>
        <v>1</v>
      </c>
      <c r="N890" s="73" t="str">
        <f>LEFT(C772,1)</f>
        <v>4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8" t="s">
        <v>632</v>
      </c>
      <c r="B283" s="1659"/>
      <c r="C283" s="1659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3" t="str">
        <f>CONCATENATE("Уточнен план ",$C$3)</f>
        <v>Уточнен план </v>
      </c>
      <c r="M23" s="1764"/>
      <c r="N23" s="1764"/>
      <c r="O23" s="1765"/>
      <c r="P23" s="1766" t="str">
        <f>CONCATENATE("Отчет ",$C$3)</f>
        <v>Отчет 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733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3" t="s">
        <v>736</v>
      </c>
      <c r="K33" s="175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1" t="s">
        <v>192</v>
      </c>
      <c r="K39" s="177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3" t="s">
        <v>197</v>
      </c>
      <c r="K47" s="177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3" t="s">
        <v>198</v>
      </c>
      <c r="K48" s="175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3" t="s">
        <v>269</v>
      </c>
      <c r="K66" s="174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3" t="s">
        <v>711</v>
      </c>
      <c r="K70" s="174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3" t="s">
        <v>217</v>
      </c>
      <c r="K76" s="174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3" t="s">
        <v>219</v>
      </c>
      <c r="K79" s="174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1" t="s">
        <v>220</v>
      </c>
      <c r="K80" s="175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1" t="s">
        <v>221</v>
      </c>
      <c r="K81" s="175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1" t="s">
        <v>1650</v>
      </c>
      <c r="K82" s="175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3" t="s">
        <v>222</v>
      </c>
      <c r="K83" s="174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3" t="s">
        <v>231</v>
      </c>
      <c r="K98" s="174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3" t="s">
        <v>232</v>
      </c>
      <c r="K99" s="174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3" t="s">
        <v>233</v>
      </c>
      <c r="K100" s="174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3" t="s">
        <v>234</v>
      </c>
      <c r="K101" s="174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3" t="s">
        <v>1651</v>
      </c>
      <c r="K108" s="174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3" t="s">
        <v>1648</v>
      </c>
      <c r="K112" s="174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3" t="s">
        <v>1649</v>
      </c>
      <c r="K113" s="174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1" t="s">
        <v>244</v>
      </c>
      <c r="K114" s="175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3" t="s">
        <v>270</v>
      </c>
      <c r="K115" s="174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245</v>
      </c>
      <c r="K118" s="174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246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617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675</v>
      </c>
      <c r="K130" s="174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3" t="s">
        <v>676</v>
      </c>
      <c r="K131" s="174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9" t="s">
        <v>903</v>
      </c>
      <c r="K136" s="175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5" t="s">
        <v>684</v>
      </c>
      <c r="K140" s="174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5" t="s">
        <v>684</v>
      </c>
      <c r="K141" s="174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2022-10-13T07:17:20Z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