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<sst xmlns="http://schemas.openxmlformats.org/spreadsheetml/2006/main" count="2990" uniqueCount="2079">
  <si>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</si>
  <si>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</si>
  <si>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</si>
  <si>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</si>
  <si>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</si>
  <si>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</si>
  <si>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</si>
  <si>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</si>
  <si>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</si>
  <si>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</si>
  <si>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</si>
  <si>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</si>
  <si>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</si>
  <si>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</si>
  <si>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</si>
  <si>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</si>
  <si>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</si>
  <si>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</si>
  <si>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</si>
  <si>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</si>
  <si>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</si>
  <si>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</si>
  <si>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</si>
  <si>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</si>
  <si>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</si>
  <si>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</si>
  <si>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</si>
  <si>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</si>
  <si>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</si>
  <si>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</si>
  <si>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</si>
  <si>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</si>
  <si>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</si>
  <si>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</si>
  <si>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</si>
  <si>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</si>
  <si>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</si>
  <si>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</si>
  <si>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</si>
  <si>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</si>
  <si>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</si>
  <si>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</si>
  <si>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</si>
  <si>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</si>
  <si>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</si>
  <si>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</si>
  <si>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</si>
  <si>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</si>
  <si>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</si>
  <si>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</si>
  <si>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</si>
  <si>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</si>
  <si>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</si>
  <si>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</si>
  <si>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</si>
  <si>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</si>
  <si>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</si>
  <si>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</si>
  <si>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</si>
  <si>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</si>
  <si>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</si>
  <si>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</si>
  <si>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</si>
  <si>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</si>
  <si>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</si>
  <si>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</si>
  <si>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</si>
  <si>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</si>
  <si>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</si>
  <si>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</si>
  <si>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</si>
  <si>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</si>
  <si>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</si>
  <si>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</si>
  <si>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</si>
  <si>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</si>
  <si>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</si>
  <si>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</si>
  <si>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</si>
  <si>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</si>
  <si>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</si>
  <si>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</si>
  <si>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</si>
  <si>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</si>
  <si>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</si>
  <si>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</si>
  <si>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</si>
  <si>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</si>
  <si>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</si>
  <si>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</si>
  <si>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</si>
  <si>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</si>
  <si>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</si>
  <si>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</si>
  <si>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</si>
  <si>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</si>
  <si>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</si>
  <si>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</si>
  <si>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</si>
  <si>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</si>
  <si>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</si>
  <si>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</si>
  <si>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</si>
  <si>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</si>
  <si>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</si>
  <si>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</si>
  <si>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</si>
  <si>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</si>
  <si>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</si>
  <si>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</si>
  <si>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</si>
  <si>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</si>
  <si>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</si>
  <si>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</si>
  <si>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</si>
  <si>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</si>
  <si>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</si>
  <si>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</si>
  <si>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</si>
  <si>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</si>
  <si>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</si>
  <si>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</si>
  <si>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</si>
  <si>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</si>
  <si>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</si>
  <si>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</si>
  <si>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</si>
  <si>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</si>
  <si>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</si>
  <si>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</si>
  <si>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</si>
  <si>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</si>
  <si>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</si>
  <si>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</si>
  <si>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</si>
  <si>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</si>
  <si>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</si>
  <si>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</si>
  <si>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</si>
  <si>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</si>
  <si>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</si>
  <si>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</si>
  <si>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</si>
  <si>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</si>
  <si>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</si>
  <si>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</si>
  <si>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</si>
  <si>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</si>
  <si>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</si>
  <si>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</si>
  <si>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</si>
  <si>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</si>
  <si>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</si>
  <si>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</si>
  <si>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</si>
  <si>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</si>
  <si>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</si>
  <si>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</si>
  <si>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</si>
  <si>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</si>
  <si>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</si>
  <si>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</si>
  <si>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</si>
  <si>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</si>
  <si>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</si>
  <si>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</si>
  <si>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</si>
  <si>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</si>
  <si>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</si>
  <si>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</si>
  <si>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</si>
  <si>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</si>
  <si>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</si>
  <si>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</si>
  <si>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</si>
  <si>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</si>
  <si>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</si>
  <si>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</si>
  <si>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</si>
  <si>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</si>
  <si>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</si>
  <si>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</si>
  <si>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</si>
  <si>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</si>
  <si>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</si>
  <si>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</si>
  <si>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</si>
  <si>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</si>
  <si>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</si>
  <si>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</si>
  <si>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</si>
  <si>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</si>
  <si>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</si>
  <si>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</si>
  <si>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</si>
  <si>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</si>
  <si>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</si>
  <si>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</si>
  <si>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</si>
  <si>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</si>
  <si>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</si>
  <si>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</si>
  <si>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</si>
  <si>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</si>
  <si>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</si>
  <si>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</si>
  <si>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</si>
  <si>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</si>
  <si>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</si>
  <si>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</si>
  <si>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</si>
  <si>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</si>
  <si>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</si>
  <si>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</si>
  <si>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</si>
  <si>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</si>
  <si>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</si>
  <si>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</si>
  <si>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</si>
  <si>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</si>
  <si>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</si>
  <si>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</si>
  <si>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</si>
  <si>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</si>
  <si>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</si>
  <si>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</si>
  <si>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</si>
  <si>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</si>
  <si>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</si>
  <si>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</si>
  <si>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</si>
  <si>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</si>
  <si>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</si>
  <si>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</si>
  <si>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</si>
  <si>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</si>
  <si>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</si>
  <si>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</si>
  <si>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</si>
  <si>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</si>
  <si>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</si>
  <si>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</si>
  <si>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</si>
  <si>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</si>
  <si>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</si>
  <si>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</si>
  <si>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</si>
  <si>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</si>
  <si>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</si>
  <si>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</si>
  <si>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</si>
  <si>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</si>
  <si>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</si>
  <si>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</si>
  <si>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</si>
  <si>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</si>
  <si>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</si>
  <si>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</si>
  <si>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</si>
  <si>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</si>
  <si>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</si>
  <si>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</si>
  <si>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</si>
  <si>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</si>
  <si>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</si>
  <si>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</si>
  <si>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</si>
  <si>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</si>
  <si>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</si>
  <si>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</si>
  <si>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</si>
  <si>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</si>
  <si>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</si>
  <si>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</si>
  <si>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</si>
  <si>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</si>
  <si>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</si>
  <si>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</si>
  <si>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</si>
  <si>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</si>
  <si>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</si>
  <si>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</si>
  <si>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</si>
  <si>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</si>
  <si>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</si>
  <si>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</si>
  <si>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</si>
  <si>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</si>
  <si>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</si>
  <si>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</si>
  <si>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</si>
  <si>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</si>
  <si>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</si>
  <si>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</si>
  <si>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</si>
  <si>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</si>
  <si>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</si>
  <si>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</si>
  <si>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</si>
  <si>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</si>
  <si>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</si>
  <si>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</si>
  <si>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</si>
  <si>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</si>
  <si>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</si>
  <si>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</si>
  <si>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</si>
  <si>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</si>
  <si>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</si>
  <si>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</si>
  <si>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</si>
  <si>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</si>
  <si>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</si>
  <si>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</si>
  <si>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</si>
  <si>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</si>
  <si>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</si>
  <si>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</si>
  <si>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</si>
  <si>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</si>
  <si>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</si>
  <si>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</si>
  <si>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</si>
  <si>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</si>
  <si>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</si>
  <si>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</si>
  <si>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</si>
  <si>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</si>
  <si>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</si>
  <si>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</si>
  <si>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</si>
  <si>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</si>
  <si>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</si>
  <si>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</si>
  <si>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</si>
  <si>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</si>
  <si>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</si>
  <si>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</si>
  <si>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</si>
  <si>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</si>
  <si>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</si>
  <si>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</si>
  <si>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</si>
  <si>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</si>
  <si>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</si>
  <si>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</si>
  <si>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</si>
  <si>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</si>
  <si>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</si>
  <si>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</si>
  <si>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</si>
  <si>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</si>
  <si>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</si>
  <si>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</si>
  <si>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</si>
  <si>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</si>
  <si>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</si>
  <si>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</si>
  <si>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</si>
  <si>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</si>
  <si>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</si>
  <si>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</si>
  <si>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</si>
  <si>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</si>
  <si>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</si>
  <si>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</si>
  <si>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</si>
  <si>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</si>
  <si>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</si>
  <si>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</si>
  <si>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</si>
  <si>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</si>
  <si>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</si>
  <si>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</si>
  <si>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</si>
  <si>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</si>
  <si>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</si>
  <si>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</si>
  <si>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</si>
  <si>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</si>
  <si>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</si>
  <si>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</si>
  <si>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</si>
  <si>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</si>
  <si>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</si>
  <si>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</si>
  <si>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</si>
  <si>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</si>
  <si>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</si>
  <si>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</si>
  <si>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</si>
  <si>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</si>
  <si>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</si>
  <si>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</si>
  <si>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</si>
  <si>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</si>
  <si>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</si>
  <si>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</si>
  <si>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</si>
  <si>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</si>
  <si>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</si>
  <si>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</si>
  <si>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</si>
  <si>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</si>
  <si>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</si>
  <si>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</si>
  <si>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</si>
  <si>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</si>
  <si>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</si>
  <si>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</si>
  <si>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</si>
  <si>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</si>
  <si>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</si>
  <si>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</si>
  <si>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</si>
  <si>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</si>
  <si>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</si>
  <si>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</si>
  <si>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</si>
  <si>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</si>
  <si>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</si>
  <si>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</si>
  <si>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</si>
  <si>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</si>
  <si>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</si>
  <si>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</si>
  <si>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</si>
  <si>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</si>
  <si>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</si>
  <si>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</si>
  <si>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</si>
  <si>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</si>
  <si>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</si>
  <si>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</si>
  <si>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</si>
  <si>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</si>
  <si>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</si>
  <si>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</si>
  <si>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</si>
  <si>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</si>
  <si>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</si>
  <si>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</si>
  <si>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</si>
  <si>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</si>
  <si>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</si>
  <si>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</si>
  <si>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</si>
  <si>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</si>
  <si>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</si>
  <si>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</si>
  <si>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</si>
  <si>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</si>
  <si>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</si>
  <si>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</si>
  <si>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</si>
  <si>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</si>
  <si>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</si>
  <si>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</si>
  <si>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</si>
  <si>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</si>
  <si>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</si>
  <si>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</si>
  <si>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</si>
  <si>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</si>
  <si>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</si>
  <si>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</si>
  <si>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</si>
  <si>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</si>
  <si>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</si>
  <si>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</si>
  <si>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</si>
  <si>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</si>
  <si>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</si>
  <si>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</si>
  <si>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</si>
  <si>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</si>
  <si>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</si>
  <si>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</si>
  <si>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</si>
  <si>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</si>
  <si>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</si>
  <si>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</si>
  <si>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</si>
  <si>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</si>
  <si>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</si>
  <si>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</si>
  <si>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</si>
  <si>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</si>
  <si>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</si>
  <si>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</si>
  <si>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</si>
  <si>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</si>
  <si>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</si>
  <si>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</si>
  <si>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</si>
  <si>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</si>
  <si>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</si>
  <si>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</si>
  <si>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</si>
  <si>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</si>
  <si>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</si>
  <si>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</si>
  <si>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</si>
  <si>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</si>
  <si>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</si>
  <si>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</si>
  <si>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</si>
  <si>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</si>
  <si>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</si>
  <si>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</si>
  <si>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</si>
  <si>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</si>
  <si>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</si>
  <si>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</si>
  <si>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</si>
  <si>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</si>
  <si>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</si>
  <si>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</si>
  <si>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</si>
  <si>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</si>
  <si>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</si>
  <si>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</si>
  <si>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</si>
  <si>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</si>
  <si>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</si>
  <si>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</si>
  <si>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</si>
  <si>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</si>
  <si>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</si>
  <si>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</si>
  <si>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</si>
  <si>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</si>
  <si>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</si>
  <si>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</si>
  <si>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</si>
  <si>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</si>
  <si>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</si>
  <si>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</si>
  <si>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</si>
  <si>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</si>
  <si>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</si>
  <si>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</si>
  <si>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</si>
  <si>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</si>
  <si>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</si>
  <si>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</si>
  <si>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</si>
  <si>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</si>
  <si>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</si>
  <si>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</si>
  <si>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</si>
  <si>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</si>
  <si>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</si>
  <si>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</si>
  <si>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</si>
  <si>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</si>
  <si>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</si>
  <si>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</si>
  <si>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</si>
  <si>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</si>
  <si>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</si>
  <si>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</si>
  <si>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</si>
  <si>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</si>
  <si>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</si>
  <si>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</si>
  <si>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</si>
  <si>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</si>
  <si>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</si>
  <si>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</si>
  <si>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</si>
  <si>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</si>
  <si>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</si>
  <si>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</si>
  <si>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</si>
  <si>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</si>
  <si>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</si>
  <si>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</si>
  <si>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</si>
  <si>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</si>
  <si>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</si>
  <si>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</si>
  <si>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</si>
  <si>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</si>
  <si>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</si>
  <si>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</si>
  <si>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</si>
  <si>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</si>
  <si>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</si>
  <si>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</si>
  <si>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</si>
  <si>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</si>
  <si>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</si>
  <si>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</si>
  <si>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</si>
  <si>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</si>
  <si>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</si>
  <si>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</si>
  <si>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</si>
  <si>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</si>
  <si>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</si>
  <si>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</si>
  <si>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</si>
  <si>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</si>
  <si>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</si>
  <si>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</si>
  <si>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</si>
  <si>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</si>
  <si>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</si>
  <si>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</si>
  <si>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</si>
  <si>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</si>
  <si>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</si>
  <si>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</si>
  <si>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</si>
  <si>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</si>
  <si>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</si>
  <si>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</si>
  <si>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</si>
  <si>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</si>
  <si>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</si>
  <si>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</si>
  <si>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</si>
  <si>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</si>
  <si>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</si>
  <si>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</si>
  <si>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</si>
  <si>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</si>
  <si>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</si>
  <si>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</si>
  <si>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</si>
  <si>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</si>
  <si>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</si>
  <si>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</si>
  <si>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</si>
  <si>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</si>
  <si>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</si>
  <si>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</si>
  <si>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</si>
  <si>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</si>
  <si>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</si>
  <si>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</si>
  <si>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</si>
  <si>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</si>
  <si>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</si>
  <si>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</si>
  <si>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</si>
  <si>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</si>
  <si>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</si>
  <si>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</si>
  <si>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</si>
  <si>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</si>
  <si>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</si>
  <si>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</si>
  <si>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</si>
  <si>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</si>
  <si>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</si>
  <si>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</si>
  <si>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</si>
  <si>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</si>
  <si>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</si>
  <si>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</si>
  <si>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</si>
  <si>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</si>
  <si>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</si>
  <si>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</si>
  <si>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</si>
  <si>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</si>
  <si>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</si>
  <si>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</si>
  <si>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</si>
  <si>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</si>
  <si>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</si>
  <si>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</si>
  <si>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</si>
  <si>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</si>
  <si>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</si>
  <si>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</si>
  <si>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</si>
  <si>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</si>
  <si>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</si>
  <si>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</si>
  <si>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</si>
  <si>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</si>
  <si>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</si>
  <si>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</si>
  <si>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</si>
  <si>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</si>
  <si>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</si>
  <si>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</si>
  <si>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</si>
  <si>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</si>
  <si>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</si>
  <si>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</si>
  <si>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</si>
  <si>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</si>
  <si>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</si>
  <si>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</si>
  <si>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</si>
  <si>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</si>
  <si>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</si>
  <si>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</si>
  <si>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</si>
  <si>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</si>
  <si>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</si>
  <si>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</si>
  <si>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</si>
  <si>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</si>
  <si>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</si>
  <si>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</si>
  <si>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</si>
  <si>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</si>
  <si>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</si>
  <si>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</si>
  <si>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</si>
  <si>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</si>
  <si>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</si>
  <si>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</si>
  <si>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</si>
  <si>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</si>
  <si>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</si>
  <si>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</si>
  <si>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</si>
  <si>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</si>
  <si>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</si>
  <si>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</si>
  <si>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</si>
  <si>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</si>
  <si>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</si>
  <si>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</si>
  <si>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</si>
  <si>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</si>
  <si>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</si>
  <si>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</si>
  <si>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</si>
  <si>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</si>
  <si>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</si>
  <si>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</si>
  <si>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</si>
  <si>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</si>
  <si>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</si>
  <si>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</si>
  <si>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</si>
  <si>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</si>
  <si>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</si>
  <si>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</si>
  <si>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</si>
  <si>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</si>
  <si>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</si>
  <si>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</si>
  <si>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</si>
  <si>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</si>
  <si>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</si>
  <si>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</si>
  <si>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</si>
  <si>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</si>
  <si>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</si>
  <si>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</si>
  <si>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</si>
  <si>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</si>
  <si>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</si>
  <si>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</si>
  <si>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</si>
  <si>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</si>
  <si>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</si>
  <si>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</si>
  <si>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</si>
  <si>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</si>
  <si>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</si>
  <si>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</si>
  <si>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</si>
  <si>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</si>
  <si>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</si>
  <si>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</si>
  <si>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</si>
  <si>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</si>
  <si>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</si>
  <si>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</si>
  <si>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</si>
  <si>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</si>
  <si>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</si>
  <si>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</si>
  <si>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</si>
  <si>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</si>
  <si>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</si>
  <si>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</si>
  <si>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</si>
  <si>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</si>
  <si>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</si>
  <si>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</si>
  <si>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</si>
  <si>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</si>
  <si>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</si>
  <si>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</si>
  <si>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</si>
  <si>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</si>
  <si>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</si>
  <si>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</si>
  <si>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</si>
  <si>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</si>
  <si>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</si>
  <si>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</si>
  <si>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</si>
  <si>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</si>
  <si>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</si>
  <si>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</si>
  <si>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</si>
  <si>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</si>
  <si>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</si>
  <si>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</si>
  <si>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</si>
  <si>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</si>
  <si>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</si>
  <si>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</si>
  <si>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</si>
  <si>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</si>
  <si>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</si>
  <si>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</si>
  <si>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</si>
  <si>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</si>
  <si>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</si>
  <si>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</si>
  <si>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</si>
  <si>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</si>
  <si>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</si>
  <si>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</si>
  <si>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</si>
  <si>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</si>
  <si>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</si>
  <si>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</si>
  <si>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</si>
  <si>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</si>
  <si>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</si>
  <si>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</si>
  <si>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</si>
  <si>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</si>
  <si>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</si>
  <si>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</si>
  <si>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</si>
  <si>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</si>
  <si>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</si>
  <si>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</si>
  <si>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</si>
  <si>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</si>
  <si>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</si>
  <si>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</si>
  <si>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</si>
  <si>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</si>
  <si>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</si>
  <si>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</si>
  <si>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</si>
  <si>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</si>
  <si>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</si>
  <si>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</si>
  <si>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</si>
  <si>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</si>
  <si>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</si>
  <si>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</si>
  <si>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</si>
  <si>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</si>
  <si>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</si>
  <si>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</si>
  <si>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</si>
  <si>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</si>
  <si>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</si>
  <si>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</si>
  <si>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</si>
  <si>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</si>
  <si>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</si>
  <si>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</si>
  <si>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</si>
  <si>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</si>
  <si>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</si>
  <si>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</si>
  <si>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</si>
  <si>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</si>
  <si>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</si>
  <si>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</si>
  <si>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</si>
  <si>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</si>
  <si>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</si>
  <si>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</si>
  <si>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</si>
  <si>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</si>
  <si>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</si>
  <si>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</si>
  <si>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</si>
  <si>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</si>
  <si>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</si>
  <si>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</si>
  <si>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</si>
  <si>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</si>
  <si>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</si>
  <si>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</si>
  <si>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</si>
  <si>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</si>
  <si>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</si>
  <si>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</si>
  <si>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</si>
  <si>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</si>
  <si>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</si>
  <si>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</si>
  <si>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</si>
  <si>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</si>
  <si>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</si>
  <si>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</si>
  <si>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</si>
  <si>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</si>
  <si>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</si>
  <si>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</si>
  <si>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</si>
  <si>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</si>
  <si>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</si>
  <si>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</si>
  <si>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</si>
  <si>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</si>
  <si>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</si>
  <si>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</si>
  <si>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</si>
  <si>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</si>
  <si>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</si>
  <si>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</si>
  <si>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</si>
  <si>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</si>
  <si>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</si>
  <si>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</si>
  <si>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</si>
  <si>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</si>
  <si>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</si>
  <si>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</si>
  <si>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</si>
  <si>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</si>
  <si>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</si>
  <si>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</si>
  <si>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</si>
  <si>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</si>
  <si>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</si>
  <si>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</si>
  <si>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</si>
  <si>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</si>
  <si>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</si>
  <si>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</si>
  <si>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</si>
  <si>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</si>
  <si>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</si>
  <si>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</si>
  <si>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</si>
  <si>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</si>
  <si>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</si>
  <si>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</si>
  <si>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</si>
  <si>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</si>
  <si>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</si>
  <si>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</si>
  <si>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</si>
  <si>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</si>
  <si>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</si>
  <si>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</si>
  <si>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</si>
  <si>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</si>
  <si>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</si>
  <si>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</si>
  <si>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</si>
  <si>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</si>
  <si>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</si>
  <si>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</si>
  <si>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</si>
  <si>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</si>
  <si>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</si>
  <si>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</si>
  <si>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</si>
  <si>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</si>
  <si>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</si>
  <si>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</si>
  <si>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</si>
  <si>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</si>
  <si>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</si>
  <si>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</si>
  <si>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</si>
  <si>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</si>
  <si>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</si>
  <si>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</si>
  <si>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</si>
  <si>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</si>
  <si>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</si>
  <si>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</si>
  <si>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</si>
  <si>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</si>
  <si>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</si>
  <si>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</si>
  <si>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</si>
  <si>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</si>
  <si>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</si>
  <si>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</si>
  <si>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</si>
  <si>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</si>
  <si>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</si>
  <si>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</si>
  <si>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</si>
  <si>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</si>
  <si>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</si>
  <si>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</si>
  <si>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</si>
  <si>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</si>
  <si>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</si>
  <si>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</si>
  <si>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</si>
  <si>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</si>
  <si>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</si>
  <si>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</si>
  <si>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</si>
  <si>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</si>
  <si>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</si>
  <si>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</si>
  <si>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</si>
  <si>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</si>
  <si>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</si>
  <si>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</si>
  <si>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</si>
  <si>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</si>
  <si>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</si>
  <si>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</si>
  <si>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</si>
  <si>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</si>
  <si>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</si>
  <si>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</si>
  <si>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</si>
  <si>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</si>
  <si>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</si>
  <si>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</si>
  <si>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</si>
  <si>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</si>
  <si>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</si>
  <si>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</si>
  <si>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</si>
  <si>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</si>
  <si>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</si>
  <si>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</si>
  <si>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</si>
  <si>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</si>
  <si>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</si>
  <si>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</si>
  <si>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</si>
  <si>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</si>
  <si>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</si>
  <si>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</si>
  <si>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</si>
  <si>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</si>
  <si>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</si>
  <si>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</si>
  <si>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</si>
  <si>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</si>
  <si>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</si>
  <si>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</si>
  <si>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</si>
  <si>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</si>
  <si>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</si>
  <si>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</si>
  <si>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</si>
  <si>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</si>
  <si>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</si>
  <si>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</si>
  <si>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</si>
  <si>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</si>
  <si>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</si>
  <si>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</si>
  <si>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</si>
  <si>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</si>
  <si>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</si>
  <si>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</si>
  <si>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</si>
  <si>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</si>
  <si>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</si>
  <si>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</si>
  <si>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</si>
  <si>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</si>
  <si>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</si>
  <si>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</si>
  <si>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</si>
  <si>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</si>
  <si>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</si>
  <si>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</si>
  <si>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</si>
  <si>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</si>
  <si>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</si>
  <si>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</si>
  <si>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</si>
  <si>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</si>
  <si>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</si>
  <si>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</si>
  <si>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</si>
  <si>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</si>
  <si>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</si>
  <si>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</si>
  <si>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</si>
  <si>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</si>
  <si>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</si>
  <si>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</si>
  <si>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</si>
  <si>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</si>
  <si>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</si>
  <si>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</si>
  <si>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</si>
  <si>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</si>
  <si>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</si>
  <si>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</si>
  <si>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</si>
  <si>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</si>
  <si>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</si>
  <si>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</si>
  <si>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</si>
  <si>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</si>
  <si>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</si>
  <si>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</si>
  <si>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</si>
  <si>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</si>
  <si>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</si>
  <si>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</si>
  <si>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</si>
  <si>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</si>
  <si>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</si>
  <si>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</si>
  <si>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</si>
  <si>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</si>
  <si>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</si>
  <si>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</si>
  <si>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</si>
  <si>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</si>
  <si>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</si>
  <si>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</si>
  <si>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</si>
  <si>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</si>
  <si>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</si>
  <si>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</si>
  <si>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</si>
  <si>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</si>
  <si>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</si>
  <si>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</si>
  <si>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</si>
  <si>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</si>
  <si>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</si>
  <si>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</si>
  <si>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</si>
  <si>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</si>
  <si>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</si>
  <si>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</si>
  <si>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</si>
  <si>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</si>
  <si>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</si>
  <si>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</si>
  <si>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</si>
  <si>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</si>
  <si>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</si>
  <si>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</si>
  <si>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</si>
  <si>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</si>
  <si>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</si>
  <si>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</si>
  <si>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</si>
  <si>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</si>
  <si>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</si>
  <si>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</si>
  <si>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</si>
  <si>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</si>
  <si>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</si>
  <si>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</si>
  <si>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</si>
  <si>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</si>
  <si>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</si>
  <si>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</si>
  <si>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</si>
  <si>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</si>
  <si>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</si>
  <si>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</si>
  <si>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</si>
  <si>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</si>
  <si>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</si>
  <si>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</si>
  <si>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</si>
  <si>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</si>
  <si>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</si>
  <si>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</si>
  <si>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</si>
  <si>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</si>
  <si>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</si>
  <si>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</si>
  <si>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</si>
  <si>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</si>
  <si>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</si>
  <si>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</si>
  <si>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</si>
  <si>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</si>
  <si>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</si>
  <si>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</si>
  <si>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</si>
  <si>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</si>
  <si>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</si>
  <si>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</si>
  <si>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</si>
  <si>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</si>
  <si>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</si>
  <si>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</si>
  <si>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</si>
  <si>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</si>
  <si>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</si>
  <si>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</si>
  <si>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</si>
  <si>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</si>
  <si>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</si>
  <si>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</si>
  <si>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</si>
  <si>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</si>
  <si>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</si>
  <si>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</si>
  <si>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</si>
  <si>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</si>
  <si>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</si>
  <si>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</si>
  <si>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</si>
  <si>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</si>
  <si>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</si>
  <si>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</si>
  <si>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</si>
  <si>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</si>
  <si>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</si>
  <si>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</si>
  <si>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</si>
  <si>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</si>
  <si>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</si>
  <si>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</si>
  <si>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</si>
  <si>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</si>
  <si>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</si>
  <si>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</si>
  <si>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</si>
  <si>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</si>
  <si>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</si>
  <si>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</si>
  <si>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</si>
  <si>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</si>
  <si>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</si>
  <si>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</si>
  <si>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</si>
  <si>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</si>
  <si>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</si>
  <si>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</si>
  <si>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</si>
  <si>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</si>
  <si>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</si>
  <si>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</si>
  <si>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</si>
  <si>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</si>
  <si>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</si>
  <si>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</si>
  <si>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</si>
  <si>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</si>
  <si>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</si>
  <si>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</si>
  <si>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</si>
  <si>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</si>
  <si>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</si>
  <si>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</si>
  <si>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</si>
  <si>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</si>
  <si>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</si>
  <si>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</si>
  <si>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</si>
  <si>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</si>
  <si>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</si>
  <si>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</si>
  <si>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</si>
  <si>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</si>
  <si>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</si>
  <si>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</si>
  <si>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</si>
  <si>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</si>
  <si>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</si>
  <si>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</si>
  <si>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</si>
  <si>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</si>
  <si>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</si>
  <si>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</si>
  <si>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</si>
  <si>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</si>
  <si>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</si>
  <si>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</si>
  <si>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</si>
  <si>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</si>
  <si>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</si>
  <si>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</si>
  <si>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</si>
  <si>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</si>
  <si>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</si>
  <si>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</si>
  <si>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</si>
  <si>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</si>
  <si>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</si>
  <si>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</si>
  <si>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</si>
  <si>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</si>
  <si>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</si>
  <si>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</si>
  <si>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</si>
  <si>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</si>
  <si>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</si>
  <si>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</si>
  <si>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</si>
  <si>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</si>
  <si>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</si>
  <si>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</si>
  <si>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</si>
  <si>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</si>
  <si>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</si>
  <si>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</si>
  <si>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</si>
  <si>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</si>
  <si>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</si>
  <si>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</si>
  <si>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</si>
  <si>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</si>
  <si>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</si>
  <si>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</si>
  <si>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</si>
  <si>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</si>
  <si>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</si>
  <si>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</si>
  <si>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</si>
  <si>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</si>
  <si>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</si>
  <si>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</si>
  <si>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</si>
  <si>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</si>
  <si>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</si>
  <si>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</si>
  <si>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</si>
  <si>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</si>
  <si>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</si>
  <si>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</si>
  <si>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</si>
  <si>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</si>
  <si>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</si>
  <si>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</si>
  <si>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</si>
  <si>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</si>
  <si>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</si>
  <si>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</si>
  <si>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</si>
  <si>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</si>
  <si>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</si>
  <si>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</si>
  <si>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</si>
  <si>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</si>
  <si>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</si>
  <si>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</si>
  <si>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</si>
  <si>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</si>
  <si>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</si>
  <si>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</si>
  <si>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</si>
  <si>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</si>
  <si>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</si>
  <si>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</si>
  <si>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</si>
  <si>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</si>
  <si>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</si>
  <si>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</si>
  <si>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</si>
  <si>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</si>
  <si>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</si>
  <si>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</si>
  <si>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</si>
  <si>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</si>
  <si>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</si>
  <si>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</si>
  <si>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</si>
  <si>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</si>
  <si>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</si>
  <si>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</si>
  <si>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</si>
  <si>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</si>
  <si>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</si>
  <si>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</si>
  <si>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</si>
  <si>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</si>
  <si>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</si>
  <si>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</si>
  <si>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</si>
  <si>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</si>
  <si>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</si>
  <si>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</si>
  <si>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</si>
  <si>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</si>
  <si>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</si>
  <si>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</si>
  <si>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</si>
  <si>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</si>
  <si>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</si>
  <si>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</si>
  <si>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</si>
  <si>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</si>
  <si>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</si>
  <si>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</si>
  <si>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</si>
  <si>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</si>
  <si>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</si>
  <si>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</si>
  <si>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</si>
  <si>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</si>
  <si>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</si>
  <si>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</si>
  <si>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</si>
  <si>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</si>
  <si>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</si>
  <si>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</si>
  <si>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</si>
  <si>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</si>
  <si>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</si>
  <si>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</si>
  <si>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</si>
  <si>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</si>
  <si>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</si>
  <si>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</si>
  <si>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</si>
  <si>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</si>
  <si>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</si>
  <si>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</si>
  <si>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</si>
  <si>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</si>
  <si>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</si>
  <si>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</si>
  <si>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</si>
  <si>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</si>
  <si>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</si>
  <si>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</si>
  <si>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</si>
  <si>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</si>
  <si>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</si>
  <si>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</si>
  <si>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</si>
  <si>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</si>
  <si>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</si>
  <si>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</si>
  <si>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</si>
  <si>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</si>
  <si>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</si>
  <si>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</si>
  <si>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</si>
  <si>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</si>
  <si>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</si>
  <si>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</si>
  <si>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</si>
  <si>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</si>
  <si>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</si>
  <si>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</si>
  <si>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</si>
  <si>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</si>
  <si>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</si>
  <si>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</si>
  <si>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</si>
  <si>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</si>
  <si>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</si>
  <si>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</si>
  <si>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</si>
  <si>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</si>
  <si>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</si>
  <si>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</si>
  <si>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</si>
  <si>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</si>
  <si>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</si>
  <si>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</si>
  <si>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</si>
  <si>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</si>
  <si>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</si>
  <si>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</si>
  <si>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</si>
  <si>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</si>
  <si>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</si>
  <si>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</si>
  <si>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</si>
  <si>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</si>
  <si>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</si>
  <si>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</si>
  <si>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</si>
  <si>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</si>
  <si>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</si>
  <si>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</si>
  <si>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</si>
  <si>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</si>
  <si>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</si>
  <si>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</si>
  <si>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</si>
  <si>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</si>
  <si>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</si>
  <si>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</si>
  <si>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</si>
  <si>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</si>
  <si>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</si>
  <si>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</si>
  <si>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</si>
  <si>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</si>
  <si>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</si>
  <si>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</si>
  <si>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</si>
  <si>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</si>
  <si>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</si>
  <si>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</si>
  <si>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</si>
  <si>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</si>
  <si>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</si>
  <si>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</si>
  <si>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</si>
  <si>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</si>
  <si>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</si>
  <si>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</si>
  <si>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</si>
  <si>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</si>
  <si>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</si>
  <si>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</si>
  <si>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</si>
  <si>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</si>
  <si>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</si>
  <si>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</si>
  <si>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</si>
  <si>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</si>
  <si>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</si>
  <si>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</si>
  <si>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</si>
  <si>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</si>
  <si>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</si>
  <si>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</si>
  <si>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</si>
  <si>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</si>
  <si>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</si>
  <si>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</si>
  <si>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</si>
  <si>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</si>
  <si>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</si>
  <si>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</si>
  <si>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</si>
  <si>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</si>
  <si>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</si>
  <si>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</si>
  <si>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</si>
  <si>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</si>
  <si>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</si>
  <si>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</si>
  <si>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</si>
  <si>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</si>
  <si>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</si>
  <si>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</si>
  <si>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</si>
  <si>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</si>
  <si>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</si>
  <si>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</si>
  <si>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</si>
  <si>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</si>
  <si>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</si>
  <si>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</si>
  <si>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</si>
  <si>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</si>
  <si>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</si>
  <si>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</si>
  <si>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</si>
  <si>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</si>
  <si>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</si>
  <si>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</si>
  <si>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</si>
  <si>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</si>
  <si>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</si>
  <si>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</si>
  <si>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</si>
  <si>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</si>
  <si>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</si>
  <si>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</si>
  <si>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</si>
  <si>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</si>
  <si>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</si>
  <si>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</si>
  <si>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</si>
  <si>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</si>
  <si>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</si>
  <si>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</si>
  <si>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</si>
  <si>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</si>
  <si>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</si>
  <si>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</si>
  <si>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</si>
  <si>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</si>
  <si>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</si>
  <si>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</si>
  <si>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</si>
  <si>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</si>
  <si>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</si>
  <si>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</si>
  <si>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</si>
  <si>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</si>
  <si>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</si>
  <si>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</si>
  <si>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</si>
  <si>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</si>
  <si>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</si>
  <si>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</si>
  <si>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</si>
  <si>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</si>
  <si>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</si>
  <si>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</si>
  <si>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</si>
  <si>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</si>
  <si>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</si>
  <si>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</si>
  <si>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</si>
  <si>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</si>
  <si>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</si>
  <si>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</si>
  <si>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</si>
  <si>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</si>
  <si>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</si>
  <si>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</si>
  <si>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</si>
  <si>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</si>
  <si>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</si>
  <si>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</si>
  <si>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</si>
  <si>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</si>
  <si>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</si>
  <si>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</si>
  <si>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</si>
  <si>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</si>
  <si>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</si>
  <si>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</si>
  <si>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</si>
  <si>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</si>
  <si>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</si>
  <si>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</si>
  <si>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</si>
  <si>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</si>
  <si>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</si>
  <si>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</si>
  <si>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</si>
  <si>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</si>
  <si>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</si>
  <si>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</si>
  <si>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</si>
  <si>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</si>
  <si>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</si>
  <si>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</si>
  <si>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</si>
  <si>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</si>
  <si>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</si>
  <si>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</si>
  <si>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</si>
  <si>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</si>
  <si>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</si>
  <si>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</si>
  <si>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</si>
  <si>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</si>
  <si>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</si>
  <si>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</si>
  <si>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</si>
  <si>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</si>
  <si>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</si>
  <si>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</si>
  <si>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</si>
  <si>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</si>
  <si>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</si>
  <si>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</si>
  <si>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</si>
  <si>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</si>
  <si>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</si>
  <si>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</si>
  <si>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</si>
  <si>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</si>
  <si>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</si>
  <si>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</si>
  <si>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</si>
  <si>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</si>
  <si>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</si>
  <si>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</si>
  <si>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</si>
  <si>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</si>
  <si>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</si>
  <si>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</si>
  <si>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</si>
  <si>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</si>
  <si>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</si>
  <si>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</si>
  <si>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</si>
  <si>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</si>
  <si>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</si>
  <si>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</si>
  <si>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</si>
  <si>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</si>
  <si>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</si>
  <si>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</si>
  <si>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</si>
  <si>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</si>
  <si>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</si>
  <si>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</si>
  <si>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</si>
  <si>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</si>
  <si>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</si>
  <si>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</si>
  <si>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</si>
  <si>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</si>
  <si>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</si>
  <si>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</si>
  <si>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</si>
  <si>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</si>
  <si>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</si>
  <si>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</si>
  <si>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</si>
  <si>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</si>
  <si>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</si>
  <si>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</si>
  <si>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</si>
  <si>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</si>
  <si>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</si>
  <si>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</si>
  <si>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</si>
  <si>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</si>
  <si>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</si>
  <si>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</si>
  <si>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</si>
  <si>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</si>
  <si>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</si>
  <si>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</si>
  <si>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</si>
  <si>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</si>
  <si>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</si>
  <si>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</si>
  <si>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</si>
  <si>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</si>
  <si>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</si>
  <si>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</si>
  <si>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</si>
  <si>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</si>
  <si>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</si>
  <si>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</si>
  <si>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</si>
  <si>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</si>
  <si>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</si>
  <si>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</si>
  <si>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</si>
  <si>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</si>
  <si>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</si>
  <si>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</si>
  <si>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</si>
  <si>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</si>
  <si>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</si>
  <si>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</si>
  <si>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</si>
  <si>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</si>
  <si>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</si>
  <si>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</si>
  <si>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</si>
  <si>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</si>
  <si>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</si>
  <si>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</si>
  <si>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</si>
  <si>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</si>
  <si>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</si>
  <si>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</si>
  <si>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</si>
  <si>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</si>
  <si>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</si>
  <si>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</si>
  <si>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</si>
  <si>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</si>
  <si>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</si>
  <si>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</si>
  <si>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</si>
  <si>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</si>
  <si>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</si>
  <si>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</si>
  <si>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</si>
  <si>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</si>
  <si>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</si>
  <si>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</si>
  <si>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</si>
  <si>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</si>
  <si>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</si>
  <si>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</si>
  <si>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</si>
  <si>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</si>
  <si>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</si>
  <si>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</si>
  <si>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</si>
  <si>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</si>
  <si>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</si>
  <si>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</si>
  <si>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</si>
  <si>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</si>
  <si>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</si>
  <si>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</si>
  <si>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</si>
  <si>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</si>
  <si>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</si>
  <si>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</si>
  <si>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</si>
  <si>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</si>
  <si>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</si>
  <si>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</si>
  <si>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</si>
  <si>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</si>
  <si>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</si>
  <si>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</si>
  <si>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</si>
  <si>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</si>
  <si>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</si>
  <si>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</si>
  <si>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</si>
  <si>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</si>
  <si>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</si>
  <si>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</si>
  <si>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</si>
  <si>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</si>
  <si>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</si>
  <si>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</si>
  <si>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</si>
  <si>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</si>
  <si>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</si>
  <si>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</si>
  <si>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</si>
  <si>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</si>
  <si>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</si>
  <si>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</si>
  <si>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</si>
  <si>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</si>
  <si>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</si>
  <si>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</si>
  <si>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</si>
  <si>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</si>
  <si>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</si>
  <si>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</si>
  <si>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</si>
  <si>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</si>
  <si>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</si>
  <si>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</si>
  <si>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</si>
  <si>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</si>
  <si>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</si>
  <si>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</si>
  <si>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</si>
  <si>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</si>
  <si>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</si>
  <si>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</si>
  <si>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</si>
  <si>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</si>
  <si>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</si>
  <si>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</si>
  <si>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</si>
  <si>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</si>
  <si>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</si>
  <si>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</si>
  <si>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</si>
  <si>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</si>
  <si>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</si>
  <si>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</si>
  <si>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</si>
  <si>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</si>
  <si>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</si>
  <si>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</si>
  <si>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</si>
  <si>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</si>
  <si>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</si>
  <si>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</si>
  <si>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</si>
  <si>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</si>
  <si>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</si>
  <si>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</si>
  <si>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</si>
  <si>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</si>
  <si>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</si>
  <si>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</si>
  <si>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</si>
  <si>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</si>
  <si>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</si>
  <si>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</si>
  <si>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</si>
  <si>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</si>
  <si>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</si>
  <si>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</si>
  <si>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</si>
  <si>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</si>
  <si>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</si>
  <si>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</si>
  <si>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</si>
  <si>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</si>
  <si>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</si>
  <si>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</si>
  <si>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</si>
  <si>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</si>
  <si>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</si>
  <si>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</si>
  <si>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</si>
  <si>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</si>
  <si>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</si>
  <si>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</si>
  <si>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</si>
  <si>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</si>
  <si>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</si>
  <si>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</si>
  <si>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</si>
  <si>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</si>
  <si>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</si>
  <si>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</si>
  <si>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</si>
  <si>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</si>
  <si>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</si>
  <si>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</si>
  <si>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</si>
  <si>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</si>
  <si>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</si>
  <si>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</si>
  <si>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</si>
  <si>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</si>
  <si>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</si>
  <si>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</si>
  <si>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</si>
  <si>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</si>
  <si>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</si>
  <si>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</si>
  <si>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</si>
  <si>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</si>
  <si>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</si>
  <si>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</si>
  <si>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</si>
  <si>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</si>
  <si>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</si>
  <si>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</si>
  <si>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</si>
  <si>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</si>
  <si>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</si>
  <si>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</si>
  <si>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</si>
  <si>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</si>
  <si>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</si>
  <si>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</si>
  <si>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</si>
  <si>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</si>
  <si>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</si>
  <si>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</si>
  <si>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</si>
  <si>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</si>
  <si>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</si>
  <si>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</si>
  <si>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</si>
  <si>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</si>
  <si>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</si>
  <si>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</si>
  <si>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</si>
  <si>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</si>
  <si>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</si>
  <si>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</si>
  <si>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</si>
  <si>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</si>
  <si>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</si>
  <si>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</si>
  <si>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</si>
  <si>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</si>
  <si>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</si>
  <si>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</si>
  <si>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</si>
  <si>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</si>
  <si>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</si>
  <si>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</si>
  <si>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</si>
  <si>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</si>
  <si>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</si>
  <si>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</si>
  <si>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</si>
  <si>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</si>
  <si>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</si>
  <si>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</si>
  <si>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</si>
  <si>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</si>
  <si>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</si>
  <si>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</si>
  <si>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</si>
  <si>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</si>
  <si>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</si>
  <si>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</si>
  <si>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</si>
  <si>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</si>
  <si>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</si>
  <si>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</si>
  <si>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</si>
  <si>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</si>
  <si>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</si>
  <si>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</si>
  <si>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</si>
  <si>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</si>
  <si>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</si>
  <si>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</si>
  <si>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</si>
  <si>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</si>
  <si>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</si>
  <si>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</si>
  <si>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</si>
  <si>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</si>
  <si>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</si>
  <si>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</si>
  <si>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</si>
  <si>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</si>
  <si>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</si>
  <si>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</si>
  <si>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</si>
  <si>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</si>
  <si>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</si>
  <si>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</si>
  <si>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</si>
  <si>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</si>
  <si>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</si>
  <si>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</si>
  <si>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</si>
  <si>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</si>
  <si>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</si>
  <si>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</si>
  <si>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</si>
  <si>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</si>
  <si>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</si>
  <si>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</si>
  <si>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</si>
  <si>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</si>
  <si>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</si>
  <si>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</si>
  <si>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</si>
  <si>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</si>
  <si>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</si>
  <si>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</si>
  <si>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</si>
  <si>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</si>
  <si>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</si>
  <si>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</si>
  <si>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</si>
  <si>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</si>
  <si>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</si>
  <si>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</si>
  <si>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</si>
  <si>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</si>
  <si>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</si>
  <si>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</si>
  <si>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</si>
  <si>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</si>
  <si>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</si>
  <si>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</si>
  <si>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</si>
  <si>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</si>
  <si>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</si>
  <si>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</si>
  <si>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</si>
  <si>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</si>
  <si>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</si>
  <si>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</si>
  <si>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</si>
  <si>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</si>
  <si>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</si>
  <si>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</si>
  <si>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</si>
  <si>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</si>
  <si>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</si>
  <si>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</si>
  <si>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</si>
  <si>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</si>
  <si>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</si>
  <si>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</si>
  <si>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</si>
  <si>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</si>
  <si>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</si>
  <si>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</si>
  <si>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</si>
  <si>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</si>
  <si>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</si>
  <si>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</si>
  <si>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b894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</si>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</sst>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44530</v>
      </c>
      <c r="M6" s="1019"/>
      <c r="N6" s="1044" t="s">
        <v>992</v>
      </c>
      <c r="O6" s="1008"/>
      <c r="P6" s="1045">
        <f>OTCHET!F9</f>
        <v>44530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44530</v>
      </c>
      <c r="H9" s="1019"/>
      <c r="I9" s="1069">
        <f>+L4</f>
        <v>2021</v>
      </c>
      <c r="J9" s="1070">
        <f>+L6</f>
        <v>44530</v>
      </c>
      <c r="K9" s="1071"/>
      <c r="L9" s="1072">
        <f>+L6</f>
        <v>44530</v>
      </c>
      <c r="M9" s="1071"/>
      <c r="N9" s="1073">
        <f>+L6</f>
        <v>44530</v>
      </c>
      <c r="O9" s="1074"/>
      <c r="P9" s="1075">
        <f>+L4</f>
        <v>2021</v>
      </c>
      <c r="Q9" s="1073">
        <f>+L6</f>
        <v>44530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7</v>
      </c>
      <c r="K20" s="1095"/>
      <c r="L20" s="1114">
        <f t="shared" si="4"/>
        <v>0</v>
      </c>
      <c r="M20" s="1095"/>
      <c r="N20" s="1115">
        <f t="shared" si="5"/>
        <v>7</v>
      </c>
      <c r="O20" s="1097"/>
      <c r="P20" s="1113">
        <f>+ROUND(+SUM(OTCHET!E81:E89),0)</f>
        <v>0</v>
      </c>
      <c r="Q20" s="1114">
        <f>+ROUND(+SUM(OTCHET!L81:L89),0)</f>
        <v>7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7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7</v>
      </c>
      <c r="O23" s="1097"/>
      <c r="P23" s="1125">
        <f>+ROUND(+SUM(P13,P14,P16,P17,P18,P19,P20,P21,P22),0)</f>
        <v>0</v>
      </c>
      <c r="Q23" s="1125">
        <f>+ROUND(+SUM(Q13,Q14,Q16,Q17,Q18,Q19,Q20,Q21,Q22),0)</f>
        <v>7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7</v>
      </c>
      <c r="K48" s="1095"/>
      <c r="L48" s="1200">
        <f>+ROUND(L23+L28+L35+L40+L46,0)</f>
        <v>0</v>
      </c>
      <c r="M48" s="1095"/>
      <c r="N48" s="1201">
        <f>+ROUND(N23+N28+N35+N40+N46,0)</f>
        <v>7</v>
      </c>
      <c r="O48" s="1202"/>
      <c r="P48" s="1199">
        <f>+ROUND(P23+P28+P35+P40+P46,0)</f>
        <v>0</v>
      </c>
      <c r="Q48" s="1200">
        <f>+ROUND(Q23+Q28+Q35+Q40+Q46,0)</f>
        <v>7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1670</v>
      </c>
      <c r="K51" s="1095"/>
      <c r="L51" s="1102">
        <f>+IF($P$2=33,$Q51,0)</f>
        <v>0</v>
      </c>
      <c r="M51" s="1095"/>
      <c r="N51" s="1132">
        <f>+ROUND(+G51+J51+L51,0)</f>
        <v>1670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1670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1670</v>
      </c>
      <c r="K56" s="1095"/>
      <c r="L56" s="1208">
        <f>+ROUND(+SUM(L51:L55),0)</f>
        <v>0</v>
      </c>
      <c r="M56" s="1095"/>
      <c r="N56" s="1209">
        <f>+ROUND(+SUM(N51:N55),0)</f>
        <v>1670</v>
      </c>
      <c r="O56" s="1097"/>
      <c r="P56" s="1207">
        <f>+ROUND(+SUM(P51:P55),0)</f>
        <v>0</v>
      </c>
      <c r="Q56" s="1208">
        <f>+ROUND(+SUM(Q51:Q55),0)</f>
        <v>1670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592633</v>
      </c>
      <c r="K59" s="1095"/>
      <c r="L59" s="1120">
        <f>+IF($P$2=33,$Q59,0)</f>
        <v>0</v>
      </c>
      <c r="M59" s="1095"/>
      <c r="N59" s="1121">
        <f>+ROUND(+G59+J59+L59,0)</f>
        <v>592633</v>
      </c>
      <c r="O59" s="1097"/>
      <c r="P59" s="1119">
        <f>+ROUND(+OTCHET!E275+OTCHET!E276,0)</f>
        <v>0</v>
      </c>
      <c r="Q59" s="1120">
        <f>+ROUND(+OTCHET!L275+OTCHET!L276,0)</f>
        <v>592633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592633</v>
      </c>
      <c r="K63" s="1095"/>
      <c r="L63" s="1208">
        <f>+ROUND(+SUM(L58:L61),0)</f>
        <v>0</v>
      </c>
      <c r="M63" s="1095"/>
      <c r="N63" s="1209">
        <f>+ROUND(+SUM(N58:N61),0)</f>
        <v>592633</v>
      </c>
      <c r="O63" s="1097"/>
      <c r="P63" s="1207">
        <f>+ROUND(+SUM(P58:P61),0)</f>
        <v>0</v>
      </c>
      <c r="Q63" s="1208">
        <f>+ROUND(+SUM(Q58:Q61),0)</f>
        <v>592633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594303</v>
      </c>
      <c r="K77" s="1095"/>
      <c r="L77" s="1233">
        <f>+ROUND(L56+L63+L67+L71+L75,0)</f>
        <v>0</v>
      </c>
      <c r="M77" s="1095"/>
      <c r="N77" s="1234">
        <f>+ROUND(N56+N63+N67+N71+N75,0)</f>
        <v>594303</v>
      </c>
      <c r="O77" s="1097"/>
      <c r="P77" s="1231">
        <f>+ROUND(P56+P63+P67+P71+P75,0)</f>
        <v>0</v>
      </c>
      <c r="Q77" s="1232">
        <f>+ROUND(Q56+Q63+Q67+Q71+Q75,0)</f>
        <v>594303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716778</v>
      </c>
      <c r="K79" s="1095"/>
      <c r="L79" s="1108">
        <f>+IF($P$2=33,$Q79,0)</f>
        <v>0</v>
      </c>
      <c r="M79" s="1095"/>
      <c r="N79" s="1109">
        <f>+ROUND(+G79+J79+L79,0)</f>
        <v>716778</v>
      </c>
      <c r="O79" s="1097"/>
      <c r="P79" s="1107">
        <f>+ROUND(OTCHET!E419,0)</f>
        <v>0</v>
      </c>
      <c r="Q79" s="1108">
        <f>+ROUND(OTCHET!L419,0)</f>
        <v>716778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2106</v>
      </c>
      <c r="K80" s="1095"/>
      <c r="L80" s="1120">
        <f>+IF($P$2=33,$Q80,0)</f>
        <v>0</v>
      </c>
      <c r="M80" s="1095"/>
      <c r="N80" s="1121">
        <f>+ROUND(+G80+J80+L80,0)</f>
        <v>2106</v>
      </c>
      <c r="O80" s="1097"/>
      <c r="P80" s="1119">
        <f>+ROUND(OTCHET!E429,0)</f>
        <v>0</v>
      </c>
      <c r="Q80" s="1120">
        <f>+ROUND(OTCHET!L429,0)</f>
        <v>2106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718884</v>
      </c>
      <c r="K81" s="1095"/>
      <c r="L81" s="1242">
        <f>+ROUND(L79+L80,0)</f>
        <v>0</v>
      </c>
      <c r="M81" s="1095"/>
      <c r="N81" s="1243">
        <f>+ROUND(N79+N80,0)</f>
        <v>718884</v>
      </c>
      <c r="O81" s="1097"/>
      <c r="P81" s="1241">
        <f>+ROUND(P79+P80,0)</f>
        <v>0</v>
      </c>
      <c r="Q81" s="1242">
        <f>+ROUND(Q79+Q80,0)</f>
        <v>718884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124588</v>
      </c>
      <c r="K83" s="1095"/>
      <c r="L83" s="1255">
        <f>+ROUND(L48,0)-ROUND(L77,0)+ROUND(L81,0)</f>
        <v>0</v>
      </c>
      <c r="M83" s="1095"/>
      <c r="N83" s="1256">
        <f>+ROUND(N48,0)-ROUND(N77,0)+ROUND(N81,0)</f>
        <v>124588</v>
      </c>
      <c r="O83" s="1257"/>
      <c r="P83" s="1254">
        <f>+ROUND(P48,0)-ROUND(P77,0)+ROUND(P81,0)</f>
        <v>0</v>
      </c>
      <c r="Q83" s="1255">
        <f>+ROUND(Q48,0)-ROUND(Q77,0)+ROUND(Q81,0)</f>
        <v>124588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-124588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-124588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-124588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108730</v>
      </c>
      <c r="K129" s="1095"/>
      <c r="L129" s="1108">
        <f>+IF($P$2=33,$Q129,0)</f>
        <v>0</v>
      </c>
      <c r="M129" s="1095"/>
      <c r="N129" s="1109">
        <f>+ROUND(+G129+J129+L129,0)</f>
        <v>108730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108730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233318</v>
      </c>
      <c r="K131" s="1095"/>
      <c r="L131" s="1120">
        <f>+IF($P$2=33,$Q131,0)</f>
        <v>0</v>
      </c>
      <c r="M131" s="1095"/>
      <c r="N131" s="1121">
        <f>+ROUND(+G131+J131+L131,0)</f>
        <v>233318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233318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124588</v>
      </c>
      <c r="K132" s="1095"/>
      <c r="L132" s="1295">
        <f>+ROUND(+L131-L129-L130,0)</f>
        <v>0</v>
      </c>
      <c r="M132" s="1095"/>
      <c r="N132" s="1296">
        <f>+ROUND(+N131-N129-N130,0)</f>
        <v>124588</v>
      </c>
      <c r="O132" s="1097"/>
      <c r="P132" s="1294">
        <f>+ROUND(+P131-P129-P130,0)</f>
        <v>0</v>
      </c>
      <c r="Q132" s="1295">
        <f>+ROUND(+Q131-Q129-Q130,0)</f>
        <v>124588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44540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44530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2068</v>
      </c>
      <c r="F17" s="1745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7</v>
      </c>
      <c r="G22" s="764">
        <f>+G23+G25+G36+G37</f>
        <v>0</v>
      </c>
      <c r="H22" s="765">
        <f>+H23+H25+H36+H37</f>
        <v>7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7</v>
      </c>
      <c r="G25" s="783">
        <f>+G26+G30+G31+G32+G33</f>
        <v>0</v>
      </c>
      <c r="H25" s="784">
        <f>+H26+H30+H31+H32+H33</f>
        <v>7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7</v>
      </c>
      <c r="G26" s="788">
        <f>OTCHET!I74</f>
        <v>0</v>
      </c>
      <c r="H26" s="789">
        <f>OTCHET!J74</f>
        <v>7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594303</v>
      </c>
      <c r="G38" s="848">
        <f>G39+G43+G44+G46+SUM(G48:G52)+G55</f>
        <v>443026</v>
      </c>
      <c r="H38" s="849">
        <f>H39+H43+H44+H46+SUM(H48:H52)+H55</f>
        <v>151277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1670</v>
      </c>
      <c r="G43" s="816">
        <f>+OTCHET!I205+OTCHET!I223+OTCHET!I271</f>
        <v>0</v>
      </c>
      <c r="H43" s="817">
        <f>+OTCHET!J205+OTCHET!J223+OTCHET!J271</f>
        <v>1670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592633</v>
      </c>
      <c r="G49" s="816">
        <f>OTCHET!I275+OTCHET!I276+OTCHET!I284+OTCHET!I287</f>
        <v>443026</v>
      </c>
      <c r="H49" s="817">
        <f>OTCHET!J275+OTCHET!J276+OTCHET!J284+OTCHET!J287</f>
        <v>149607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718884</v>
      </c>
      <c r="G56" s="893">
        <f>+G57+G58+G62</f>
        <v>552308</v>
      </c>
      <c r="H56" s="894">
        <f>+H57+H58+H62</f>
        <v>166576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718884</v>
      </c>
      <c r="G58" s="902">
        <f>+OTCHET!I383+OTCHET!I391+OTCHET!I396+OTCHET!I399+OTCHET!I402+OTCHET!I405+OTCHET!I406+OTCHET!I409+OTCHET!I422+OTCHET!I423+OTCHET!I424+OTCHET!I425+OTCHET!I426</f>
        <v>552308</v>
      </c>
      <c r="H58" s="903">
        <f>+OTCHET!J383+OTCHET!J391+OTCHET!J396+OTCHET!J399+OTCHET!J402+OTCHET!J405+OTCHET!J406+OTCHET!J409+OTCHET!J422+OTCHET!J423+OTCHET!J424+OTCHET!J425+OTCHET!J426</f>
        <v>166576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2106</v>
      </c>
      <c r="G59" s="906">
        <f>+OTCHET!I422+OTCHET!I423+OTCHET!I424+OTCHET!I425+OTCHET!I426</f>
        <v>0</v>
      </c>
      <c r="H59" s="907">
        <f>+OTCHET!J422+OTCHET!J423+OTCHET!J424+OTCHET!J425+OTCHET!J426</f>
        <v>2106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124588</v>
      </c>
      <c r="G64" s="928">
        <f>+G22-G38+G56-G63</f>
        <v>109282</v>
      </c>
      <c r="H64" s="929">
        <f>+H22-H38+H56-H63</f>
        <v>15306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-40275</v>
      </c>
      <c r="H65" s="934">
        <f>+H$64+H$66</f>
        <v>40275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-124588</v>
      </c>
      <c r="G66" s="938">
        <f>SUM(+G68+G76+G77+G84+G85+G86+G89+G90+G91+G92+G93+G94+G95)</f>
        <v>-149557</v>
      </c>
      <c r="H66" s="939">
        <f>SUM(+H68+H76+H77+H84+H85+H86+H89+H90+H91+H92+H93+H94+H95)</f>
        <v>24969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108730</v>
      </c>
      <c r="G90" s="902">
        <f>+OTCHET!I567+OTCHET!I568+OTCHET!I569+OTCHET!I570+OTCHET!I571+OTCHET!I572</f>
        <v>27920</v>
      </c>
      <c r="H90" s="903">
        <f>+OTCHET!J567+OTCHET!J568+OTCHET!J569+OTCHET!J570+OTCHET!J571+OTCHET!J572</f>
        <v>80810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-233318</v>
      </c>
      <c r="G91" s="816">
        <f>+OTCHET!I573+OTCHET!I574+OTCHET!I575+OTCHET!I576+OTCHET!I577+OTCHET!I578+OTCHET!I579</f>
        <v>-177477</v>
      </c>
      <c r="H91" s="817">
        <f>+OTCHET!J573+OTCHET!J574+OTCHET!J575+OTCHET!J576+OTCHET!J577+OTCHET!J578+OTCHET!J579</f>
        <v>-55841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-40275</v>
      </c>
      <c r="H105" s="985">
        <f>+H$64+H$66</f>
        <v>40275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581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32" t="str">
        <f>VLOOKUP(E15,SMETKA,2,FALSE)</f>
        <v>ОТЧЕТНИ ДАННИ ПО ЕБК ЗА СМЕТКИТЕ ЗА СРЕДСТВАТА ОТ ЕВРОПЕЙСКИЯ СЪЮЗ - РА</v>
      </c>
      <c r="C7" s="1833"/>
      <c r="D7" s="183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4" t="s">
        <v>1860</v>
      </c>
      <c r="C9" s="1835"/>
      <c r="D9" s="1836"/>
      <c r="E9" s="115">
        <v>44197</v>
      </c>
      <c r="F9" s="116">
        <v>44530</v>
      </c>
      <c r="G9" s="113"/>
      <c r="H9" s="1415"/>
      <c r="I9" s="1789"/>
      <c r="J9" s="1790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ноември</v>
      </c>
      <c r="G10" s="113"/>
      <c r="H10" s="114"/>
      <c r="I10" s="1791" t="s">
        <v>963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816" t="str">
        <f>VLOOKUP(F12,PRBK,2,FALSE)</f>
        <v>Твърдица</v>
      </c>
      <c r="C12" s="1817"/>
      <c r="D12" s="1818"/>
      <c r="E12" s="118" t="s">
        <v>957</v>
      </c>
      <c r="F12" s="1585" t="s">
        <v>1540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7" t="s">
        <v>2052</v>
      </c>
      <c r="F19" s="1758"/>
      <c r="G19" s="1758"/>
      <c r="H19" s="1759"/>
      <c r="I19" s="1840" t="s">
        <v>2053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0" t="s">
        <v>465</v>
      </c>
      <c r="D22" s="183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0" t="s">
        <v>467</v>
      </c>
      <c r="D28" s="183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0" t="s">
        <v>126</v>
      </c>
      <c r="D33" s="183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0" t="s">
        <v>121</v>
      </c>
      <c r="D39" s="183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7</v>
      </c>
      <c r="K74" s="170">
        <f>SUM(K75:K89)</f>
        <v>0</v>
      </c>
      <c r="L74" s="1376">
        <f t="shared" si="13"/>
        <v>7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>
        <v>0</v>
      </c>
      <c r="H81" s="160">
        <v>0</v>
      </c>
      <c r="I81" s="158"/>
      <c r="J81" s="159">
        <v>7</v>
      </c>
      <c r="K81" s="160">
        <v>0</v>
      </c>
      <c r="L81" s="295">
        <f t="shared" si="14"/>
        <v>7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7</v>
      </c>
      <c r="K169" s="213">
        <f t="shared" si="39"/>
        <v>0</v>
      </c>
      <c r="L169" s="210">
        <f t="shared" si="39"/>
        <v>7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8" t="str">
        <f>$B$7</f>
        <v>ОТЧЕТНИ ДАННИ ПО ЕБК ЗА СМЕТКИТЕ ЗА СРЕДСТВАТА ОТ ЕВРОПЕЙСКИЯ СЪЮЗ - РА</v>
      </c>
      <c r="C174" s="1829"/>
      <c r="D174" s="182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1" t="str">
        <f>$B$9</f>
        <v>Твърдица</v>
      </c>
      <c r="C176" s="1752"/>
      <c r="D176" s="1753"/>
      <c r="E176" s="115">
        <f>$E$9</f>
        <v>44197</v>
      </c>
      <c r="F176" s="226">
        <f>$F$9</f>
        <v>44530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6" t="str">
        <f>$B$12</f>
        <v>Твърдица</v>
      </c>
      <c r="C179" s="1817"/>
      <c r="D179" s="1818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7" t="s">
        <v>2054</v>
      </c>
      <c r="F183" s="1758"/>
      <c r="G183" s="1758"/>
      <c r="H183" s="1759"/>
      <c r="I183" s="1760" t="s">
        <v>2055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5" t="s">
        <v>739</v>
      </c>
      <c r="D187" s="176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7" t="s">
        <v>742</v>
      </c>
      <c r="D190" s="176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9" t="s">
        <v>192</v>
      </c>
      <c r="D196" s="177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1" t="s">
        <v>197</v>
      </c>
      <c r="D204" s="177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7" t="s">
        <v>198</v>
      </c>
      <c r="D205" s="176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1670</v>
      </c>
      <c r="K205" s="276">
        <f t="shared" si="48"/>
        <v>0</v>
      </c>
      <c r="L205" s="310">
        <f t="shared" si="48"/>
        <v>1670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1670</v>
      </c>
      <c r="K212" s="323">
        <f t="shared" si="49"/>
        <v>0</v>
      </c>
      <c r="L212" s="320">
        <f t="shared" si="49"/>
        <v>1670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3" t="s">
        <v>269</v>
      </c>
      <c r="D223" s="177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3" t="s">
        <v>717</v>
      </c>
      <c r="D227" s="177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3" t="s">
        <v>217</v>
      </c>
      <c r="D233" s="177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3" t="s">
        <v>219</v>
      </c>
      <c r="D236" s="177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3" t="s">
        <v>220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3" t="s">
        <v>221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3" t="s">
        <v>1652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3" t="s">
        <v>222</v>
      </c>
      <c r="D240" s="177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3" t="s">
        <v>231</v>
      </c>
      <c r="D255" s="177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3" t="s">
        <v>232</v>
      </c>
      <c r="D256" s="177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3" t="s">
        <v>233</v>
      </c>
      <c r="D257" s="177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3" t="s">
        <v>234</v>
      </c>
      <c r="D258" s="177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3" t="s">
        <v>1657</v>
      </c>
      <c r="D265" s="177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3" t="s">
        <v>1654</v>
      </c>
      <c r="D269" s="177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3" t="s">
        <v>1655</v>
      </c>
      <c r="D270" s="177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3" t="s">
        <v>244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3" t="s">
        <v>270</v>
      </c>
      <c r="D272" s="177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7" t="s">
        <v>245</v>
      </c>
      <c r="D275" s="177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443026</v>
      </c>
      <c r="J275" s="275">
        <f t="shared" si="68"/>
        <v>149607</v>
      </c>
      <c r="K275" s="276">
        <f t="shared" si="68"/>
        <v>0</v>
      </c>
      <c r="L275" s="310">
        <f t="shared" si="68"/>
        <v>592633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77" t="s">
        <v>246</v>
      </c>
      <c r="D276" s="177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7" t="s">
        <v>619</v>
      </c>
      <c r="D284" s="177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7" t="s">
        <v>681</v>
      </c>
      <c r="D287" s="177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3" t="s">
        <v>682</v>
      </c>
      <c r="D288" s="177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9" t="s">
        <v>909</v>
      </c>
      <c r="D293" s="178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75" t="s">
        <v>690</v>
      </c>
      <c r="D297" s="177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443026</v>
      </c>
      <c r="J301" s="397">
        <f t="shared" si="77"/>
        <v>151277</v>
      </c>
      <c r="K301" s="398">
        <f t="shared" si="77"/>
        <v>0</v>
      </c>
      <c r="L301" s="395">
        <f t="shared" si="77"/>
        <v>594303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7"/>
      <c r="C306" s="1822"/>
      <c r="D306" s="182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1"/>
      <c r="C308" s="1822"/>
      <c r="D308" s="182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1"/>
      <c r="C311" s="1822"/>
      <c r="D311" s="182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3"/>
      <c r="C344" s="1823"/>
      <c r="D344" s="182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6" t="str">
        <f>$B$7</f>
        <v>ОТЧЕТНИ ДАННИ ПО ЕБК ЗА СМЕТКИТЕ ЗА СРЕДСТВАТА ОТ ЕВРОПЕЙСКИЯ СЪЮЗ - РА</v>
      </c>
      <c r="C348" s="1826"/>
      <c r="D348" s="182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1" t="str">
        <f>$B$9</f>
        <v>Твърдица</v>
      </c>
      <c r="C350" s="1752"/>
      <c r="D350" s="1753"/>
      <c r="E350" s="115">
        <f>$E$9</f>
        <v>44197</v>
      </c>
      <c r="F350" s="407">
        <f>$F$9</f>
        <v>44530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6" t="str">
        <f>$B$12</f>
        <v>Твърдица</v>
      </c>
      <c r="C353" s="1817"/>
      <c r="D353" s="1818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2056</v>
      </c>
      <c r="F357" s="1844"/>
      <c r="G357" s="1844"/>
      <c r="H357" s="1845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4" t="s">
        <v>273</v>
      </c>
      <c r="D361" s="182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3" t="s">
        <v>284</v>
      </c>
      <c r="D375" s="179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3" t="s">
        <v>306</v>
      </c>
      <c r="D383" s="179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3" t="s">
        <v>250</v>
      </c>
      <c r="D388" s="179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3" t="s">
        <v>251</v>
      </c>
      <c r="D391" s="1794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3" t="s">
        <v>253</v>
      </c>
      <c r="D396" s="179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92051</v>
      </c>
      <c r="J396" s="444">
        <f t="shared" si="88"/>
        <v>161471</v>
      </c>
      <c r="K396" s="445">
        <f>SUM(K397:K398)</f>
        <v>0</v>
      </c>
      <c r="L396" s="1378">
        <f t="shared" si="88"/>
        <v>253522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>
        <v>535077</v>
      </c>
      <c r="J397" s="153">
        <v>161471</v>
      </c>
      <c r="K397" s="154">
        <v>0</v>
      </c>
      <c r="L397" s="1379">
        <f>I397+J397+K397</f>
        <v>696548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>
        <v>-443026</v>
      </c>
      <c r="J398" s="174"/>
      <c r="K398" s="175">
        <v>0</v>
      </c>
      <c r="L398" s="1383">
        <f>I398+J398+K398</f>
        <v>-443026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793" t="s">
        <v>254</v>
      </c>
      <c r="D399" s="179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460257</v>
      </c>
      <c r="J399" s="444">
        <f t="shared" si="89"/>
        <v>2999</v>
      </c>
      <c r="K399" s="445">
        <f>SUM(K400:K401)</f>
        <v>0</v>
      </c>
      <c r="L399" s="1378">
        <f t="shared" si="89"/>
        <v>463256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>
        <v>0</v>
      </c>
      <c r="G400" s="159"/>
      <c r="H400" s="154">
        <v>0</v>
      </c>
      <c r="I400" s="158">
        <v>460257</v>
      </c>
      <c r="J400" s="159">
        <v>2999</v>
      </c>
      <c r="K400" s="154">
        <v>0</v>
      </c>
      <c r="L400" s="1379">
        <f>I400+J400+K400</f>
        <v>463256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3" t="s">
        <v>916</v>
      </c>
      <c r="D402" s="179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3" t="s">
        <v>676</v>
      </c>
      <c r="D405" s="1794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3" t="s">
        <v>677</v>
      </c>
      <c r="D406" s="179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3" t="s">
        <v>695</v>
      </c>
      <c r="D409" s="179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3" t="s">
        <v>257</v>
      </c>
      <c r="D412" s="179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552308</v>
      </c>
      <c r="J419" s="496">
        <f t="shared" si="95"/>
        <v>164470</v>
      </c>
      <c r="K419" s="515">
        <f>SUM(K361,K375,K383,K388,K391,K396,K399,K402,K405,K406,K409,K412)</f>
        <v>0</v>
      </c>
      <c r="L419" s="512">
        <f t="shared" si="95"/>
        <v>716778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3" t="s">
        <v>762</v>
      </c>
      <c r="D422" s="1794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3" t="s">
        <v>700</v>
      </c>
      <c r="D423" s="1794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3" t="s">
        <v>258</v>
      </c>
      <c r="D424" s="1794"/>
      <c r="E424" s="1378">
        <f>F424+G424+H424</f>
        <v>0</v>
      </c>
      <c r="F424" s="483">
        <v>0</v>
      </c>
      <c r="G424" s="484"/>
      <c r="H424" s="1474">
        <v>0</v>
      </c>
      <c r="I424" s="483">
        <v>0</v>
      </c>
      <c r="J424" s="484">
        <v>2106</v>
      </c>
      <c r="K424" s="1474">
        <v>0</v>
      </c>
      <c r="L424" s="1378">
        <f>I424+J424+K424</f>
        <v>2106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3" t="s">
        <v>679</v>
      </c>
      <c r="D425" s="1794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3" t="s">
        <v>920</v>
      </c>
      <c r="D426" s="179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2106</v>
      </c>
      <c r="K429" s="515">
        <f t="shared" si="97"/>
        <v>0</v>
      </c>
      <c r="L429" s="512">
        <f t="shared" si="97"/>
        <v>2106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РА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1" t="str">
        <f>$B$9</f>
        <v>Твърдица</v>
      </c>
      <c r="C435" s="1752"/>
      <c r="D435" s="1753"/>
      <c r="E435" s="115">
        <f>$E$9</f>
        <v>44197</v>
      </c>
      <c r="F435" s="407">
        <f>$F$9</f>
        <v>44530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6" t="str">
        <f>$B$12</f>
        <v>Твърдица</v>
      </c>
      <c r="C438" s="1817"/>
      <c r="D438" s="1818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7" t="s">
        <v>2058</v>
      </c>
      <c r="F442" s="1758"/>
      <c r="G442" s="1758"/>
      <c r="H442" s="1759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109282</v>
      </c>
      <c r="J445" s="547">
        <f t="shared" si="99"/>
        <v>15306</v>
      </c>
      <c r="K445" s="548">
        <f t="shared" si="99"/>
        <v>0</v>
      </c>
      <c r="L445" s="549">
        <f t="shared" si="99"/>
        <v>124588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-149557</v>
      </c>
      <c r="J446" s="554">
        <f t="shared" si="100"/>
        <v>24969</v>
      </c>
      <c r="K446" s="555">
        <f t="shared" si="100"/>
        <v>0</v>
      </c>
      <c r="L446" s="556">
        <f>+L597</f>
        <v>-124588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49" t="str">
        <f>$B$7</f>
        <v>ОТЧЕТНИ ДАННИ ПО ЕБК ЗА СМЕТКИТЕ ЗА СРЕДСТВАТА ОТ ЕВРОПЕЙСКИЯ СЪЮЗ - РА</v>
      </c>
      <c r="C449" s="1750"/>
      <c r="D449" s="175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1" t="str">
        <f>$B$9</f>
        <v>Твърдица</v>
      </c>
      <c r="C451" s="1752"/>
      <c r="D451" s="1753"/>
      <c r="E451" s="115">
        <f>$E$9</f>
        <v>44197</v>
      </c>
      <c r="F451" s="407">
        <f>$F$9</f>
        <v>44530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6" t="str">
        <f>$B$12</f>
        <v>Твърдица</v>
      </c>
      <c r="C454" s="1817"/>
      <c r="D454" s="1818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2060</v>
      </c>
      <c r="F458" s="1838"/>
      <c r="G458" s="1838"/>
      <c r="H458" s="1839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763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3" t="s">
        <v>766</v>
      </c>
      <c r="D465" s="180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3" t="s">
        <v>1950</v>
      </c>
      <c r="D468" s="180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769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4" t="s">
        <v>776</v>
      </c>
      <c r="D478" s="180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6" t="s">
        <v>924</v>
      </c>
      <c r="D481" s="180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1" t="s">
        <v>929</v>
      </c>
      <c r="D497" s="180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1" t="s">
        <v>24</v>
      </c>
      <c r="D502" s="1807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0" t="s">
        <v>930</v>
      </c>
      <c r="D503" s="181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6" t="s">
        <v>33</v>
      </c>
      <c r="D512" s="180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6" t="s">
        <v>37</v>
      </c>
      <c r="D516" s="180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6" t="s">
        <v>931</v>
      </c>
      <c r="D521" s="181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1" t="s">
        <v>932</v>
      </c>
      <c r="D524" s="180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310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6" t="s">
        <v>934</v>
      </c>
      <c r="D535" s="1806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1" t="s">
        <v>935</v>
      </c>
      <c r="D536" s="181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936</v>
      </c>
      <c r="D541" s="180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6" t="s">
        <v>937</v>
      </c>
      <c r="D544" s="180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946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-149557</v>
      </c>
      <c r="J566" s="580">
        <f t="shared" si="128"/>
        <v>24969</v>
      </c>
      <c r="K566" s="581">
        <f t="shared" si="128"/>
        <v>0</v>
      </c>
      <c r="L566" s="578">
        <f t="shared" si="128"/>
        <v>-124588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>
        <v>27920</v>
      </c>
      <c r="J567" s="153">
        <v>80810</v>
      </c>
      <c r="K567" s="584">
        <v>0</v>
      </c>
      <c r="L567" s="1379">
        <f t="shared" si="116"/>
        <v>108730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>
        <v>-177477</v>
      </c>
      <c r="J573" s="153">
        <v>-55841</v>
      </c>
      <c r="K573" s="1626">
        <v>0</v>
      </c>
      <c r="L573" s="1393">
        <f t="shared" si="129"/>
        <v>-233318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951</v>
      </c>
      <c r="D586" s="180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828</v>
      </c>
      <c r="D591" s="180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-149557</v>
      </c>
      <c r="J597" s="664">
        <f t="shared" si="133"/>
        <v>24969</v>
      </c>
      <c r="K597" s="666">
        <f t="shared" si="133"/>
        <v>0</v>
      </c>
      <c r="L597" s="662">
        <f t="shared" si="133"/>
        <v>-124588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5" t="s">
        <v>2076</v>
      </c>
      <c r="H600" s="1796"/>
      <c r="I600" s="1796"/>
      <c r="J600" s="179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3" t="s">
        <v>872</v>
      </c>
      <c r="H601" s="1783"/>
      <c r="I601" s="1783"/>
      <c r="J601" s="178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798" t="s">
        <v>2077</v>
      </c>
      <c r="H603" s="1799"/>
      <c r="I603" s="1799"/>
      <c r="J603" s="1800"/>
      <c r="K603" s="103"/>
      <c r="L603" s="228"/>
      <c r="M603" s="7">
        <v>1</v>
      </c>
      <c r="N603" s="518"/>
    </row>
    <row r="604" spans="1:14" ht="21.75" customHeight="1">
      <c r="A604" s="23"/>
      <c r="B604" s="1781" t="s">
        <v>875</v>
      </c>
      <c r="C604" s="1782"/>
      <c r="D604" s="672" t="s">
        <v>876</v>
      </c>
      <c r="E604" s="673"/>
      <c r="F604" s="674"/>
      <c r="G604" s="1783" t="s">
        <v>872</v>
      </c>
      <c r="H604" s="1783"/>
      <c r="I604" s="1783"/>
      <c r="J604" s="1783"/>
      <c r="K604" s="103"/>
      <c r="L604" s="228"/>
      <c r="M604" s="7">
        <v>1</v>
      </c>
      <c r="N604" s="518"/>
    </row>
    <row r="605" spans="1:14" ht="24.75" customHeight="1">
      <c r="A605" s="36"/>
      <c r="B605" s="1784">
        <v>44540</v>
      </c>
      <c r="C605" s="1785"/>
      <c r="D605" s="675" t="s">
        <v>877</v>
      </c>
      <c r="E605" s="676" t="s">
        <v>2078</v>
      </c>
      <c r="F605" s="677"/>
      <c r="G605" s="678" t="s">
        <v>878</v>
      </c>
      <c r="H605" s="1786"/>
      <c r="I605" s="1787"/>
      <c r="J605" s="178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6"/>
      <c r="I607" s="1787"/>
      <c r="J607" s="178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9" t="str">
        <f>$B$7</f>
        <v>ОТЧЕТНИ ДАННИ ПО ЕБК ЗА СМЕТКИТЕ ЗА СРЕДСТВАТА ОТ ЕВРОПЕЙСКИЯ СЪЮЗ - РА</v>
      </c>
      <c r="C621" s="1750"/>
      <c r="D621" s="175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1" t="str">
        <f>$B$9</f>
        <v>Твърдица</v>
      </c>
      <c r="C623" s="1752"/>
      <c r="D623" s="1753"/>
      <c r="E623" s="115">
        <f>$E$9</f>
        <v>44197</v>
      </c>
      <c r="F623" s="226">
        <f>$F$9</f>
        <v>44530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4" t="str">
        <f>$B$12</f>
        <v>Твърдица</v>
      </c>
      <c r="C626" s="1755"/>
      <c r="D626" s="1756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57" t="s">
        <v>2071</v>
      </c>
      <c r="F630" s="1758"/>
      <c r="G630" s="1758"/>
      <c r="H630" s="1759"/>
      <c r="I630" s="1760" t="s">
        <v>2072</v>
      </c>
      <c r="J630" s="1761"/>
      <c r="K630" s="1761"/>
      <c r="L630" s="1762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8" t="s">
        <v>2070</v>
      </c>
      <c r="C634" s="1458">
        <f>VLOOKUP(D635,EBK_DEIN2,2,FALSE)</f>
        <v>3322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3322</v>
      </c>
      <c r="D635" s="1452" t="s">
        <v>1955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65" t="s">
        <v>739</v>
      </c>
      <c r="D637" s="1766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7" t="s">
        <v>742</v>
      </c>
      <c r="D640" s="1768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9" t="s">
        <v>192</v>
      </c>
      <c r="D646" s="1770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1" t="s">
        <v>197</v>
      </c>
      <c r="D654" s="1772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7" t="s">
        <v>198</v>
      </c>
      <c r="D655" s="1768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3" t="s">
        <v>269</v>
      </c>
      <c r="D673" s="177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3" t="s">
        <v>717</v>
      </c>
      <c r="D677" s="177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3" t="s">
        <v>217</v>
      </c>
      <c r="D683" s="177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3" t="s">
        <v>219</v>
      </c>
      <c r="D686" s="1774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3" t="s">
        <v>220</v>
      </c>
      <c r="D687" s="1764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3" t="s">
        <v>221</v>
      </c>
      <c r="D688" s="1764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3" t="s">
        <v>1656</v>
      </c>
      <c r="D689" s="1764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3" t="s">
        <v>222</v>
      </c>
      <c r="D690" s="177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3" t="s">
        <v>231</v>
      </c>
      <c r="D705" s="1774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3" t="s">
        <v>232</v>
      </c>
      <c r="D706" s="1774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3" t="s">
        <v>233</v>
      </c>
      <c r="D707" s="1774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3" t="s">
        <v>234</v>
      </c>
      <c r="D708" s="177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3" t="s">
        <v>1657</v>
      </c>
      <c r="D715" s="177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3" t="s">
        <v>1654</v>
      </c>
      <c r="D719" s="1774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3" t="s">
        <v>1655</v>
      </c>
      <c r="D720" s="1774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3" t="s">
        <v>244</v>
      </c>
      <c r="D721" s="1764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3" t="s">
        <v>270</v>
      </c>
      <c r="D722" s="177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7" t="s">
        <v>245</v>
      </c>
      <c r="D725" s="1778"/>
      <c r="E725" s="310">
        <f>F725+G725+H725</f>
        <v>0</v>
      </c>
      <c r="F725" s="1422"/>
      <c r="G725" s="1423"/>
      <c r="H725" s="1424"/>
      <c r="I725" s="1422">
        <v>443026</v>
      </c>
      <c r="J725" s="1423"/>
      <c r="K725" s="1424"/>
      <c r="L725" s="310">
        <f>I725+J725+K725</f>
        <v>443026</v>
      </c>
      <c r="M725" s="12">
        <f t="shared" si="155"/>
        <v>1</v>
      </c>
      <c r="N725" s="13"/>
    </row>
    <row r="726" spans="2:14" ht="15.75">
      <c r="B726" s="365">
        <v>5200</v>
      </c>
      <c r="C726" s="1777" t="s">
        <v>246</v>
      </c>
      <c r="D726" s="177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7" t="s">
        <v>619</v>
      </c>
      <c r="D734" s="177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7" t="s">
        <v>681</v>
      </c>
      <c r="D737" s="1778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3" t="s">
        <v>682</v>
      </c>
      <c r="D738" s="177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9" t="s">
        <v>909</v>
      </c>
      <c r="D743" s="1780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75" t="s">
        <v>690</v>
      </c>
      <c r="D747" s="177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75" t="s">
        <v>690</v>
      </c>
      <c r="D748" s="177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443026</v>
      </c>
      <c r="J752" s="397">
        <f t="shared" si="169"/>
        <v>0</v>
      </c>
      <c r="K752" s="398">
        <f t="shared" si="169"/>
        <v>0</v>
      </c>
      <c r="L752" s="395">
        <f t="shared" si="169"/>
        <v>443026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49" t="str">
        <f>$B$7</f>
        <v>ОТЧЕТНИ ДАННИ ПО ЕБК ЗА СМЕТКИТЕ ЗА СРЕДСТВАТА ОТ ЕВРОПЕЙСКИЯ СЪЮЗ - РА</v>
      </c>
      <c r="C759" s="1750"/>
      <c r="D759" s="175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461</v>
      </c>
      <c r="F760" s="406" t="s">
        <v>830</v>
      </c>
      <c r="G760" s="237"/>
      <c r="H760" s="1362" t="s">
        <v>1247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51" t="str">
        <f>$B$9</f>
        <v>Твърдица</v>
      </c>
      <c r="C761" s="1752"/>
      <c r="D761" s="1753"/>
      <c r="E761" s="115">
        <f>$E$9</f>
        <v>44197</v>
      </c>
      <c r="F761" s="226">
        <f>$F$9</f>
        <v>44530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54" t="str">
        <f>$B$12</f>
        <v>Твърдица</v>
      </c>
      <c r="C764" s="1755"/>
      <c r="D764" s="1756"/>
      <c r="E764" s="410" t="s">
        <v>885</v>
      </c>
      <c r="F764" s="1360" t="str">
        <f>$F$12</f>
        <v>7004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886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462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708</v>
      </c>
      <c r="E768" s="1757" t="s">
        <v>2071</v>
      </c>
      <c r="F768" s="1758"/>
      <c r="G768" s="1758"/>
      <c r="H768" s="1759"/>
      <c r="I768" s="1760" t="s">
        <v>2072</v>
      </c>
      <c r="J768" s="1761"/>
      <c r="K768" s="1761"/>
      <c r="L768" s="1762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463</v>
      </c>
      <c r="D769" s="252" t="s">
        <v>709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0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738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7" t="e">
        <f>VLOOKUP(D771,OP_LIST2,2,FALSE)</f>
        <v>#N/A</v>
      </c>
      <c r="D771" s="1457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668" t="s">
        <v>2070</v>
      </c>
      <c r="C772" s="1458">
        <f>VLOOKUP(D773,EBK_DEIN2,2,FALSE)</f>
        <v>6606</v>
      </c>
      <c r="D772" s="1457" t="s">
        <v>787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6">
        <f>+C772</f>
        <v>6606</v>
      </c>
      <c r="D773" s="1452" t="s">
        <v>583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5"/>
      <c r="C774" s="1453"/>
      <c r="D774" s="1456" t="s">
        <v>710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65" t="s">
        <v>739</v>
      </c>
      <c r="D775" s="1766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740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741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67" t="s">
        <v>742</v>
      </c>
      <c r="D778" s="1768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743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744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591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592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593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69" t="s">
        <v>192</v>
      </c>
      <c r="D784" s="1770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193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904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866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194</v>
      </c>
      <c r="E788" s="295">
        <f t="shared" si="174"/>
        <v>0</v>
      </c>
      <c r="F788" s="158"/>
      <c r="G788" s="159"/>
      <c r="H788" s="1420"/>
      <c r="I788" s="158"/>
      <c r="J788" s="159"/>
      <c r="K788" s="1420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195</v>
      </c>
      <c r="E789" s="295">
        <f t="shared" si="174"/>
        <v>0</v>
      </c>
      <c r="F789" s="158"/>
      <c r="G789" s="159"/>
      <c r="H789" s="1420"/>
      <c r="I789" s="158"/>
      <c r="J789" s="159"/>
      <c r="K789" s="1420"/>
      <c r="L789" s="295">
        <f t="shared" si="175"/>
        <v>0</v>
      </c>
      <c r="M789" s="12">
        <f t="shared" si="171"/>
      </c>
      <c r="N789" s="13"/>
    </row>
    <row r="790" spans="2:14" ht="15.75">
      <c r="B790" s="291"/>
      <c r="C790" s="304">
        <v>588</v>
      </c>
      <c r="D790" s="305" t="s">
        <v>868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71" t="s">
        <v>197</v>
      </c>
      <c r="D792" s="1772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67" t="s">
        <v>198</v>
      </c>
      <c r="D793" s="1768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1670</v>
      </c>
      <c r="K793" s="276">
        <f t="shared" si="176"/>
        <v>0</v>
      </c>
      <c r="L793" s="310">
        <f t="shared" si="176"/>
        <v>1670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199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202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203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205</v>
      </c>
      <c r="E800" s="320">
        <f t="shared" si="177"/>
        <v>0</v>
      </c>
      <c r="F800" s="454"/>
      <c r="G800" s="455"/>
      <c r="H800" s="1428"/>
      <c r="I800" s="454"/>
      <c r="J800" s="455">
        <v>1670</v>
      </c>
      <c r="K800" s="1428"/>
      <c r="L800" s="320">
        <f t="shared" si="178"/>
        <v>1670</v>
      </c>
      <c r="M800" s="12">
        <f t="shared" si="171"/>
        <v>1</v>
      </c>
      <c r="N800" s="13"/>
    </row>
    <row r="801" spans="2:14" ht="15.75">
      <c r="B801" s="292"/>
      <c r="C801" s="324">
        <v>1030</v>
      </c>
      <c r="D801" s="325" t="s">
        <v>206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207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869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209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796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210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905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73" t="s">
        <v>269</v>
      </c>
      <c r="D811" s="177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906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907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908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73" t="s">
        <v>717</v>
      </c>
      <c r="D815" s="177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73" t="s">
        <v>217</v>
      </c>
      <c r="D821" s="177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303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73" t="s">
        <v>219</v>
      </c>
      <c r="D824" s="1774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63" t="s">
        <v>220</v>
      </c>
      <c r="D825" s="1764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63" t="s">
        <v>221</v>
      </c>
      <c r="D826" s="1764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63" t="s">
        <v>1656</v>
      </c>
      <c r="D827" s="1764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73" t="s">
        <v>222</v>
      </c>
      <c r="D828" s="177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1948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224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225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226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1967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227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1998</v>
      </c>
      <c r="D837" s="1480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711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1653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2051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73" t="s">
        <v>231</v>
      </c>
      <c r="D843" s="1774"/>
      <c r="E843" s="310">
        <f t="shared" si="189"/>
        <v>0</v>
      </c>
      <c r="F843" s="1470">
        <v>0</v>
      </c>
      <c r="G843" s="1471">
        <v>0</v>
      </c>
      <c r="H843" s="1472">
        <v>0</v>
      </c>
      <c r="I843" s="1470">
        <v>0</v>
      </c>
      <c r="J843" s="1471">
        <v>0</v>
      </c>
      <c r="K843" s="1472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73" t="s">
        <v>232</v>
      </c>
      <c r="D844" s="1774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73" t="s">
        <v>233</v>
      </c>
      <c r="D845" s="1774"/>
      <c r="E845" s="310">
        <f t="shared" si="189"/>
        <v>0</v>
      </c>
      <c r="F845" s="1471">
        <v>0</v>
      </c>
      <c r="G845" s="1471">
        <v>0</v>
      </c>
      <c r="H845" s="1472">
        <v>0</v>
      </c>
      <c r="I845" s="1666">
        <v>0</v>
      </c>
      <c r="J845" s="1471">
        <v>0</v>
      </c>
      <c r="K845" s="1471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73" t="s">
        <v>234</v>
      </c>
      <c r="D846" s="177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73" t="s">
        <v>1657</v>
      </c>
      <c r="D853" s="177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73" t="s">
        <v>1654</v>
      </c>
      <c r="D857" s="1774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73" t="s">
        <v>1655</v>
      </c>
      <c r="D858" s="1774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63" t="s">
        <v>244</v>
      </c>
      <c r="D859" s="1764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73" t="s">
        <v>270</v>
      </c>
      <c r="D860" s="177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77" t="s">
        <v>245</v>
      </c>
      <c r="D863" s="1778"/>
      <c r="E863" s="310">
        <f>F863+G863+H863</f>
        <v>0</v>
      </c>
      <c r="F863" s="1422"/>
      <c r="G863" s="1423"/>
      <c r="H863" s="1424"/>
      <c r="I863" s="1422"/>
      <c r="J863" s="1423">
        <v>149607</v>
      </c>
      <c r="K863" s="1424"/>
      <c r="L863" s="310">
        <f>I863+J863+K863</f>
        <v>149607</v>
      </c>
      <c r="M863" s="12">
        <f t="shared" si="191"/>
        <v>1</v>
      </c>
      <c r="N863" s="13"/>
    </row>
    <row r="864" spans="2:14" ht="15.75">
      <c r="B864" s="365">
        <v>5200</v>
      </c>
      <c r="C864" s="1777" t="s">
        <v>246</v>
      </c>
      <c r="D864" s="1778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247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614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615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616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617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618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77" t="s">
        <v>619</v>
      </c>
      <c r="D872" s="177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620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77" t="s">
        <v>681</v>
      </c>
      <c r="D875" s="1778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73" t="s">
        <v>682</v>
      </c>
      <c r="D876" s="177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683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684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685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686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79" t="s">
        <v>909</v>
      </c>
      <c r="D881" s="1780"/>
      <c r="E881" s="310">
        <f>SUM(E882:E884)</f>
        <v>0</v>
      </c>
      <c r="F881" s="1470">
        <v>0</v>
      </c>
      <c r="G881" s="1470">
        <v>0</v>
      </c>
      <c r="H881" s="1470">
        <v>0</v>
      </c>
      <c r="I881" s="1470">
        <v>0</v>
      </c>
      <c r="J881" s="1470">
        <v>0</v>
      </c>
      <c r="K881" s="1470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687</v>
      </c>
      <c r="E882" s="281">
        <f>F882+G882+H882</f>
        <v>0</v>
      </c>
      <c r="F882" s="1471">
        <v>0</v>
      </c>
      <c r="G882" s="1471">
        <v>0</v>
      </c>
      <c r="H882" s="1472">
        <v>0</v>
      </c>
      <c r="I882" s="1666">
        <v>0</v>
      </c>
      <c r="J882" s="1471">
        <v>0</v>
      </c>
      <c r="K882" s="1471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688</v>
      </c>
      <c r="E883" s="314">
        <f>F883+G883+H883</f>
        <v>0</v>
      </c>
      <c r="F883" s="1471">
        <v>0</v>
      </c>
      <c r="G883" s="1471">
        <v>0</v>
      </c>
      <c r="H883" s="1472">
        <v>0</v>
      </c>
      <c r="I883" s="1666">
        <v>0</v>
      </c>
      <c r="J883" s="1471">
        <v>0</v>
      </c>
      <c r="K883" s="1471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689</v>
      </c>
      <c r="E884" s="377">
        <f>F884+G884+H884</f>
        <v>0</v>
      </c>
      <c r="F884" s="1471">
        <v>0</v>
      </c>
      <c r="G884" s="1471">
        <v>0</v>
      </c>
      <c r="H884" s="1472">
        <v>0</v>
      </c>
      <c r="I884" s="1666">
        <v>0</v>
      </c>
      <c r="J884" s="1471">
        <v>0</v>
      </c>
      <c r="K884" s="1471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75" t="s">
        <v>690</v>
      </c>
      <c r="D885" s="177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75" t="s">
        <v>690</v>
      </c>
      <c r="D886" s="1776"/>
      <c r="E886" s="382">
        <f>F886+G886+H886</f>
        <v>0</v>
      </c>
      <c r="F886" s="1429"/>
      <c r="G886" s="1430"/>
      <c r="H886" s="1431"/>
      <c r="I886" s="1460">
        <v>0</v>
      </c>
      <c r="J886" s="1461">
        <v>0</v>
      </c>
      <c r="K886" s="1462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3"/>
      <c r="C890" s="393" t="s">
        <v>736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151277</v>
      </c>
      <c r="K890" s="398">
        <f t="shared" si="205"/>
        <v>0</v>
      </c>
      <c r="L890" s="395">
        <f t="shared" si="205"/>
        <v>151277</v>
      </c>
      <c r="M890" s="12">
        <f t="shared" si="202"/>
        <v>1</v>
      </c>
      <c r="N890" s="73" t="str">
        <f>LEFT(C772,1)</f>
        <v>6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 objects="1" scenarios="1"/>
  <mergeCells count="17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49">
        <f>$B$7</f>
        <v>0</v>
      </c>
      <c r="J14" s="1750"/>
      <c r="K14" s="175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1">
        <f>$B$9</f>
        <v>0</v>
      </c>
      <c r="J16" s="1752"/>
      <c r="K16" s="175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4">
        <f>$B$12</f>
        <v>0</v>
      </c>
      <c r="J19" s="1755"/>
      <c r="K19" s="175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7" t="s">
        <v>2071</v>
      </c>
      <c r="M23" s="1758"/>
      <c r="N23" s="1758"/>
      <c r="O23" s="1759"/>
      <c r="P23" s="1760" t="s">
        <v>2072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5" t="s">
        <v>739</v>
      </c>
      <c r="K30" s="176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7" t="s">
        <v>742</v>
      </c>
      <c r="K33" s="176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9" t="s">
        <v>192</v>
      </c>
      <c r="K39" s="177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1" t="s">
        <v>197</v>
      </c>
      <c r="K47" s="177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7" t="s">
        <v>198</v>
      </c>
      <c r="K48" s="176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3" t="s">
        <v>269</v>
      </c>
      <c r="K66" s="177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3" t="s">
        <v>717</v>
      </c>
      <c r="K70" s="177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3" t="s">
        <v>217</v>
      </c>
      <c r="K76" s="177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3" t="s">
        <v>219</v>
      </c>
      <c r="K79" s="177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3" t="s">
        <v>220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3" t="s">
        <v>221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3" t="s">
        <v>1656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3" t="s">
        <v>222</v>
      </c>
      <c r="K83" s="177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3" t="s">
        <v>231</v>
      </c>
      <c r="K98" s="177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3" t="s">
        <v>232</v>
      </c>
      <c r="K99" s="177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3" t="s">
        <v>233</v>
      </c>
      <c r="K100" s="177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3" t="s">
        <v>234</v>
      </c>
      <c r="K101" s="177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3" t="s">
        <v>1657</v>
      </c>
      <c r="K108" s="177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3" t="s">
        <v>1654</v>
      </c>
      <c r="K112" s="177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3" t="s">
        <v>1655</v>
      </c>
      <c r="K113" s="177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3" t="s">
        <v>244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3" t="s">
        <v>270</v>
      </c>
      <c r="K115" s="177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7" t="s">
        <v>245</v>
      </c>
      <c r="K118" s="177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7" t="s">
        <v>246</v>
      </c>
      <c r="K119" s="177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7" t="s">
        <v>619</v>
      </c>
      <c r="K127" s="177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7" t="s">
        <v>681</v>
      </c>
      <c r="K130" s="177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3" t="s">
        <v>682</v>
      </c>
      <c r="K131" s="177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9" t="s">
        <v>909</v>
      </c>
      <c r="K136" s="178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75" t="s">
        <v>690</v>
      </c>
      <c r="K140" s="177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5" t="s">
        <v>690</v>
      </c>
      <c r="K141" s="177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2021-12-10T09:18:38Z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